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5200" windowHeight="4680" activeTab="0"/>
  </bookViews>
  <sheets>
    <sheet name="Handleiding" sheetId="1" r:id="rId1"/>
    <sheet name="Invullblad" sheetId="2" r:id="rId2"/>
    <sheet name="Grafiek Milieuimpact" sheetId="3" r:id="rId3"/>
    <sheet name="Grafiek GJp" sheetId="4" r:id="rId4"/>
    <sheet name="Milieuscores" sheetId="5" r:id="rId5"/>
    <sheet name="Energie in GJp" sheetId="6" r:id="rId6"/>
    <sheet name="factoren MJA" sheetId="7" state="hidden" r:id="rId7"/>
  </sheets>
  <definedNames/>
  <calcPr calcMode="autoNoTable" fullCalcOnLoad="1"/>
</workbook>
</file>

<file path=xl/sharedStrings.xml><?xml version="1.0" encoding="utf-8"?>
<sst xmlns="http://schemas.openxmlformats.org/spreadsheetml/2006/main" count="547" uniqueCount="233">
  <si>
    <t>Totaal</t>
  </si>
  <si>
    <t>Verwijderde i.e. 150 g TZV</t>
  </si>
  <si>
    <t>Opwekking energie</t>
  </si>
  <si>
    <t>Biogas</t>
  </si>
  <si>
    <t>Methaanpercentage</t>
  </si>
  <si>
    <t>Externe levering van warmte</t>
  </si>
  <si>
    <t>Externe levering van elektriciteit</t>
  </si>
  <si>
    <t>Eenheid</t>
  </si>
  <si>
    <t>kWh</t>
  </si>
  <si>
    <t>Inkoop aardgas</t>
  </si>
  <si>
    <t>Nm3</t>
  </si>
  <si>
    <t>Inkoop warmte</t>
  </si>
  <si>
    <t>m3</t>
  </si>
  <si>
    <t>Hoeveelheden</t>
  </si>
  <si>
    <t>Hoeveelheid geproduceerd biogas</t>
  </si>
  <si>
    <t>%</t>
  </si>
  <si>
    <t>GJ</t>
  </si>
  <si>
    <t>kg</t>
  </si>
  <si>
    <t>i.e.150 g TZV</t>
  </si>
  <si>
    <t>Behandelde i.e. in influent 150 g TZV</t>
  </si>
  <si>
    <t>Afgefakkelde hoeveelheid biogas</t>
  </si>
  <si>
    <t xml:space="preserve"> - voor directe aandrijving</t>
  </si>
  <si>
    <t xml:space="preserve"> - voor WKK/gasmotor</t>
  </si>
  <si>
    <t>Elektriciteit opgewekt uit biogas</t>
  </si>
  <si>
    <t>Nuttig ingezette hoeveelheid biogas</t>
  </si>
  <si>
    <t>Geproduceerd slib</t>
  </si>
  <si>
    <t>ton ontwaterd slib</t>
  </si>
  <si>
    <t>Inkoop energie</t>
  </si>
  <si>
    <t>Inkoop brandstoffen</t>
  </si>
  <si>
    <t>Methanol</t>
  </si>
  <si>
    <t>Elektriciteit</t>
  </si>
  <si>
    <t>Warmte</t>
  </si>
  <si>
    <t>Externe levering van energie buiten rwzi</t>
  </si>
  <si>
    <t>Externe levering van groen gas</t>
  </si>
  <si>
    <t>Kalkhydraat</t>
  </si>
  <si>
    <t>Hoeveelheid geleverd groen gas</t>
  </si>
  <si>
    <t>Invulblad parameters: geel gearceerde velden invullen voor zover bekend</t>
  </si>
  <si>
    <t>Primaire energie</t>
  </si>
  <si>
    <t>MJ/eenheid</t>
  </si>
  <si>
    <t>Electriciteit</t>
  </si>
  <si>
    <t>Aardgas</t>
  </si>
  <si>
    <t>Onderwerp</t>
  </si>
  <si>
    <t>Parameter per jaar</t>
  </si>
  <si>
    <t>Energiedrager (oud en nieuw)</t>
  </si>
  <si>
    <t>Stookwaarde</t>
  </si>
  <si>
    <t>CO2-em.factor</t>
  </si>
  <si>
    <t>(GJ/eenheid)</t>
  </si>
  <si>
    <t>kg CO2/GJ)</t>
  </si>
  <si>
    <t>(Overige bitumineuze) steenkool</t>
  </si>
  <si>
    <t>ton</t>
  </si>
  <si>
    <t>Aardgascondensaat</t>
  </si>
  <si>
    <t>Afval (niet biogeen)</t>
  </si>
  <si>
    <t>Antraciet</t>
  </si>
  <si>
    <t>Biomassa vast</t>
  </si>
  <si>
    <t>Biomassa vloeibaar</t>
  </si>
  <si>
    <t>Bitumen</t>
  </si>
  <si>
    <t>Bitumineuze leisteen</t>
  </si>
  <si>
    <t>Bruinkool</t>
  </si>
  <si>
    <t>Chemisch restgas</t>
  </si>
  <si>
    <t>Cokeskolen (basismetaal)</t>
  </si>
  <si>
    <t>Cokeskolen (cokeovens)</t>
  </si>
  <si>
    <t>Cokesoven/gascokes</t>
  </si>
  <si>
    <t>Cokesovengas</t>
  </si>
  <si>
    <t>MWh</t>
  </si>
  <si>
    <t>Ethaan</t>
  </si>
  <si>
    <t>Fosforovengas</t>
  </si>
  <si>
    <t>Gas-/dieselolie</t>
  </si>
  <si>
    <t>Hoogovengas</t>
  </si>
  <si>
    <t>Industrieeel fermentatiegas</t>
  </si>
  <si>
    <t>Kerosine luchtvaart</t>
  </si>
  <si>
    <t>Koolmonoxide</t>
  </si>
  <si>
    <t>Leisteenolie</t>
  </si>
  <si>
    <t>LPG</t>
  </si>
  <si>
    <t>Methaan</t>
  </si>
  <si>
    <t>Motorbenzine</t>
  </si>
  <si>
    <t>Nafta's</t>
  </si>
  <si>
    <t>Orimulsion</t>
  </si>
  <si>
    <t>Overige oliën</t>
  </si>
  <si>
    <t>Oxystaalovengas</t>
  </si>
  <si>
    <t>Petroleum</t>
  </si>
  <si>
    <t>Petroleumcokes</t>
  </si>
  <si>
    <t>TJ</t>
  </si>
  <si>
    <t>Raffinaderij grondstoffen</t>
  </si>
  <si>
    <t>Raffinaderijgas</t>
  </si>
  <si>
    <t>Ruwe aardolie</t>
  </si>
  <si>
    <t>RWZI biogas</t>
  </si>
  <si>
    <t>Smeeroliën</t>
  </si>
  <si>
    <t>Steenkoolbriketten en bruinkoolbriketten</t>
  </si>
  <si>
    <t>Steenkoolcokes/cokes</t>
  </si>
  <si>
    <t>Stortgas</t>
  </si>
  <si>
    <t>Sub-bitumineuze kool</t>
  </si>
  <si>
    <t>Turf</t>
  </si>
  <si>
    <t>Waterstof</t>
  </si>
  <si>
    <t>Zware stookolie</t>
  </si>
  <si>
    <t>ton CO2/eenheid</t>
  </si>
  <si>
    <t>GJp/jaar</t>
  </si>
  <si>
    <t>Als een onderdeel niet wordt ingevuld dan wordt hier niets voor berekend.</t>
  </si>
  <si>
    <t>Elektriciteit opgewekt uit aardgas</t>
  </si>
  <si>
    <t xml:space="preserve"> - voor CV-ketel</t>
  </si>
  <si>
    <t>Let op! 1 Nm3 biogas = 1,12 m3 biogas</t>
  </si>
  <si>
    <t>Diesel</t>
  </si>
  <si>
    <t>Aluminiumchloride, hydraatvorm</t>
  </si>
  <si>
    <t>Aluminiumsulfaat, poedervorm</t>
  </si>
  <si>
    <t>Glycerine uit epichloorhydrine</t>
  </si>
  <si>
    <t>Glycerine uit koolzaadolie</t>
  </si>
  <si>
    <t>IJzerchloridesulfaat</t>
  </si>
  <si>
    <t>IJzersulfaat</t>
  </si>
  <si>
    <t>Kalkmelk op basis van gebluste kalk</t>
  </si>
  <si>
    <t>Koolstofdioxide, vloeibaar</t>
  </si>
  <si>
    <t>Magnesiumchloride, anhydride</t>
  </si>
  <si>
    <t>Magnesiumchloride, hydraat, vaste vorm</t>
  </si>
  <si>
    <t>Magnesiumoxide</t>
  </si>
  <si>
    <t>Melasse uit suikerbieten</t>
  </si>
  <si>
    <t>Natriumchloride (zout), poedervorm</t>
  </si>
  <si>
    <t>Polyaluminiumchloride</t>
  </si>
  <si>
    <t>Polyaluminiumsulfaat, poeder</t>
  </si>
  <si>
    <t>Zoutzuur uit de reactie van waterstof en chloor</t>
  </si>
  <si>
    <t>Zoutzuur uit het Mannheim proces</t>
  </si>
  <si>
    <t>Zuurstof (vloeibaar)</t>
  </si>
  <si>
    <t>Zwavelzuur, vloeibaar</t>
  </si>
  <si>
    <t>Materialen</t>
  </si>
  <si>
    <t xml:space="preserve">Calciumoxide (ongebluste kalk; poeder) </t>
  </si>
  <si>
    <t>Methaanemissie per kg influent CZV</t>
  </si>
  <si>
    <t>Lachgas per kg influent Nkj</t>
  </si>
  <si>
    <t>Lachgas per kg effluent Ntot</t>
  </si>
  <si>
    <t>Influent CZV</t>
  </si>
  <si>
    <t>Effluent Ntot</t>
  </si>
  <si>
    <t>Influent Nkj</t>
  </si>
  <si>
    <t>Gewapend beton</t>
  </si>
  <si>
    <t>Milieuimpactscore</t>
  </si>
  <si>
    <t>Lachgasemissie uit geproduceerd GJ biogas</t>
  </si>
  <si>
    <t>Methaanemissie uit afgefakkeld GJ biogas</t>
  </si>
  <si>
    <t>Pt/jaar</t>
  </si>
  <si>
    <t>Slibverwerking</t>
  </si>
  <si>
    <t>Drogestofgehalte slib</t>
  </si>
  <si>
    <t>Opwekking energie uit biogas</t>
  </si>
  <si>
    <t>Energieverbruik rwzi</t>
  </si>
  <si>
    <t>Wind</t>
  </si>
  <si>
    <t>Water</t>
  </si>
  <si>
    <t>energie</t>
  </si>
  <si>
    <t>slibverwerking</t>
  </si>
  <si>
    <t>materiaal</t>
  </si>
  <si>
    <t xml:space="preserve">Overig hernieuwbaar opgewekte energie </t>
  </si>
  <si>
    <t>Invulhulp</t>
  </si>
  <si>
    <t>Behandelde hoeveelheid afvalwater</t>
  </si>
  <si>
    <t>Droging en verbranding van ontwaterd slib</t>
  </si>
  <si>
    <t>Levensduur gewapen beton</t>
  </si>
  <si>
    <t>jaar</t>
  </si>
  <si>
    <t>GJ/jaar</t>
  </si>
  <si>
    <t>Primair energieverbruik</t>
  </si>
  <si>
    <t>Waarvan zelf opgewekt</t>
  </si>
  <si>
    <t xml:space="preserve">Handleiding </t>
  </si>
  <si>
    <t>De ingevulde waarden worden in twee aparte tabbladen omgerekend in:</t>
  </si>
  <si>
    <t xml:space="preserve"> - Tabblad Energie in GJp: Primaire Gigajoules op basis van energie-inhouden conform systematiek AgentschapNL</t>
  </si>
  <si>
    <t>In het standaard rekenmodel zijn als voorbeeld realistische waarden ingevuld voor de verwerking van een hoeveelheid afvalwater van 310.000 inwoner-equivalenten</t>
  </si>
  <si>
    <t>De basisgegevens kunnen worden ingevuld in het tabblad "Invulblad"</t>
  </si>
  <si>
    <t>Afvalwaterzuivering in Milieuscores</t>
  </si>
  <si>
    <t>Afvalwaterzuivering in GER-waarden</t>
  </si>
  <si>
    <t>ton ds</t>
  </si>
  <si>
    <t>Levering van warmte aan derden</t>
  </si>
  <si>
    <t>Levering van elektriciteit aan derden</t>
  </si>
  <si>
    <t>Levering van groen gas aan derden</t>
  </si>
  <si>
    <t>Warmtepomp</t>
  </si>
  <si>
    <t>Variant 1</t>
  </si>
  <si>
    <t xml:space="preserve">Ingevulde waarden </t>
  </si>
  <si>
    <t>variant 1</t>
  </si>
  <si>
    <t>Overig hernieuwbaar opgewekte energie</t>
  </si>
  <si>
    <t>Variant 2</t>
  </si>
  <si>
    <t>Variant 3</t>
  </si>
  <si>
    <t>Oplossing</t>
  </si>
  <si>
    <t>variant 2</t>
  </si>
  <si>
    <t>variant 3</t>
  </si>
  <si>
    <t>Voor alle chemicalien geldt invullen:</t>
  </si>
  <si>
    <t>kg zoals geleverd in opgeloste vorm of poeder</t>
  </si>
  <si>
    <t>Bij oplossingen % oplossing invullen</t>
  </si>
  <si>
    <t>Milieuimpactscore per behandelde i.e</t>
  </si>
  <si>
    <t>Milieuimpactscore per behandelde m3 afvalwater</t>
  </si>
  <si>
    <t>Primaire energie in GJp per behandelde i.e</t>
  </si>
  <si>
    <t>Primaire energie in GJp  per behandelde m3 afvalwater</t>
  </si>
  <si>
    <t>Emissie naar lucht (excl. CO2)</t>
  </si>
  <si>
    <t>kg CZV</t>
  </si>
  <si>
    <t>kg Nkj</t>
  </si>
  <si>
    <t>kg Ntot</t>
  </si>
  <si>
    <t>Antiscalants (polycarboxylaten)</t>
  </si>
  <si>
    <t>Azijnzuur</t>
  </si>
  <si>
    <t>Bio-ethanol</t>
  </si>
  <si>
    <t>IJzer(III)chloride</t>
  </si>
  <si>
    <t>Magnesiumchloride</t>
  </si>
  <si>
    <t>Geen % oplossing invullen</t>
  </si>
  <si>
    <t xml:space="preserve">Natriumaluminaat oplossing </t>
  </si>
  <si>
    <t>Natriumhypochloriet</t>
  </si>
  <si>
    <t>Natronloog kwikcelproces</t>
  </si>
  <si>
    <t>Natronloog, membraanproces</t>
  </si>
  <si>
    <t>Natronloog, productiemix</t>
  </si>
  <si>
    <t>Zoutzuur, reactie propyleen en chloor</t>
  </si>
  <si>
    <t>Bij zuivere producten/poeder 100% invullen</t>
  </si>
  <si>
    <t>Transport vloeibaar slib</t>
  </si>
  <si>
    <t>Transport ontwaterd slib</t>
  </si>
  <si>
    <t>km</t>
  </si>
  <si>
    <t>Invullen bij aanvoer extern slib naar rwzi</t>
  </si>
  <si>
    <t>Invullen bij afvoer ontwaterd slib van rwzi</t>
  </si>
  <si>
    <t>tonkm</t>
  </si>
  <si>
    <t>Naam</t>
  </si>
  <si>
    <t>Bio-P</t>
  </si>
  <si>
    <t>Chem-P</t>
  </si>
  <si>
    <t>Preprecep</t>
  </si>
  <si>
    <t>De ingevulde waarden worden grafisch gepresenteerd in:</t>
  </si>
  <si>
    <t xml:space="preserve"> - Tabblad Grafiek Milieuimpact</t>
  </si>
  <si>
    <t xml:space="preserve"> - Tabblad Grafiek Energie in GJp</t>
  </si>
  <si>
    <t>voor de volgende 3 varianten</t>
  </si>
  <si>
    <t xml:space="preserve"> - Biologische fosfaatverwijdering met voorbezinking en gisting</t>
  </si>
  <si>
    <t xml:space="preserve"> - Chemische fosfaatverwijdering met voorbezinking en gisting</t>
  </si>
  <si>
    <t xml:space="preserve"> - Preprecipiatie op voorbezinking, biologische fosfaatverwijdering en gisting</t>
  </si>
  <si>
    <t>broeikasgassen</t>
  </si>
  <si>
    <t>Levering van energie aan derden</t>
  </si>
  <si>
    <t>Inkoop hulpstoffen</t>
  </si>
  <si>
    <t>hulpstoffen</t>
  </si>
  <si>
    <t>Zon</t>
  </si>
  <si>
    <t xml:space="preserve">Inkoop elektriciteit </t>
  </si>
  <si>
    <t>Inkoop elektriciteit</t>
  </si>
  <si>
    <t>Omreken-factor</t>
  </si>
  <si>
    <t>dpt / eenheid</t>
  </si>
  <si>
    <t>Dit model berekent milieuimpactscores en GER-waarden voor het zuiveren van communaal afvalwater in Nederland. Het model kan gebruikt worden om het verschil in zuiveringsvarianten voor milieu-impact en GER-score van een gehele RWZI of van delen daarvan te berekenen.</t>
  </si>
  <si>
    <t>Polymeer, anionisch</t>
  </si>
  <si>
    <t>Polymeer, anionisch, vloeibaar</t>
  </si>
  <si>
    <t xml:space="preserve">Polymeer, kationisch, poeder </t>
  </si>
  <si>
    <t>Polymeer, kationisch, vloeibaar</t>
  </si>
  <si>
    <t>Versie 1.0</t>
  </si>
  <si>
    <t>Opstelling model: Mirabella Mulder Waste Water Management</t>
  </si>
  <si>
    <t>Voor vragen, opmerkingen en verbetersuggesties kunt u contact opnemen met Cora Uijterlinde van STOWA.</t>
  </si>
  <si>
    <r>
      <t xml:space="preserve">Voor meer informatie omtrent onderbouwingen en afwegingen wordt verwezen naar de STOWA-rapportage </t>
    </r>
    <r>
      <rPr>
        <i/>
        <sz val="10"/>
        <rFont val="Arial"/>
        <family val="2"/>
      </rPr>
      <t>"Handleiding model milieuimpact en energiebehoefte van rwzi's"</t>
    </r>
  </si>
  <si>
    <t>Datum: 20 juli 2012</t>
  </si>
  <si>
    <t xml:space="preserve"> - Tabblad Milieuimpact: Milieuimpactscores op basis van berekende kentallen met het programma SimaPro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</si>
</sst>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4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0"/>
    </font>
    <font>
      <sz val="16.5"/>
      <color indexed="8"/>
      <name val="Arial"/>
      <family val="0"/>
    </font>
    <font>
      <b/>
      <sz val="16.5"/>
      <color indexed="8"/>
      <name val="Arial"/>
      <family val="0"/>
    </font>
    <font>
      <b/>
      <sz val="16"/>
      <color indexed="8"/>
      <name val="Arial"/>
      <family val="0"/>
    </font>
    <font>
      <sz val="16.55"/>
      <color indexed="8"/>
      <name val="Arial"/>
      <family val="0"/>
    </font>
    <font>
      <sz val="15.75"/>
      <color indexed="8"/>
      <name val="Arial"/>
      <family val="0"/>
    </font>
    <font>
      <b/>
      <sz val="15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 indent="2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horizontal="left" indent="1"/>
    </xf>
    <xf numFmtId="0" fontId="0" fillId="0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33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10" fontId="0" fillId="34" borderId="10" xfId="0" applyNumberForma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0" fillId="34" borderId="1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3" borderId="12" xfId="0" applyNumberFormat="1" applyFill="1" applyBorder="1" applyAlignment="1">
      <alignment/>
    </xf>
    <xf numFmtId="3" fontId="0" fillId="34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/>
    </xf>
    <xf numFmtId="3" fontId="0" fillId="33" borderId="10" xfId="0" applyNumberForma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35" borderId="15" xfId="0" applyFont="1" applyFill="1" applyBorder="1" applyAlignment="1" applyProtection="1">
      <alignment/>
      <protection hidden="1"/>
    </xf>
    <xf numFmtId="0" fontId="3" fillId="35" borderId="16" xfId="0" applyFont="1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 horizontal="center"/>
      <protection hidden="1"/>
    </xf>
    <xf numFmtId="0" fontId="3" fillId="35" borderId="12" xfId="0" applyFont="1" applyFill="1" applyBorder="1" applyAlignment="1" applyProtection="1">
      <alignment/>
      <protection hidden="1"/>
    </xf>
    <xf numFmtId="1" fontId="3" fillId="35" borderId="0" xfId="0" applyNumberFormat="1" applyFont="1" applyFill="1" applyBorder="1" applyAlignment="1" applyProtection="1">
      <alignment horizontal="center"/>
      <protection hidden="1"/>
    </xf>
    <xf numFmtId="9" fontId="0" fillId="35" borderId="18" xfId="0" applyNumberFormat="1" applyFill="1" applyBorder="1" applyAlignment="1" applyProtection="1">
      <alignment horizontal="center"/>
      <protection hidden="1"/>
    </xf>
    <xf numFmtId="0" fontId="5" fillId="35" borderId="12" xfId="0" applyFont="1" applyFill="1" applyBorder="1" applyAlignment="1" applyProtection="1">
      <alignment horizontal="left" indent="1"/>
      <protection hidden="1"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9" fontId="5" fillId="35" borderId="18" xfId="58" applyFont="1" applyFill="1" applyBorder="1" applyAlignment="1" applyProtection="1">
      <alignment horizontal="center"/>
      <protection hidden="1"/>
    </xf>
    <xf numFmtId="168" fontId="5" fillId="35" borderId="18" xfId="58" applyNumberFormat="1" applyFont="1" applyFill="1" applyBorder="1" applyAlignment="1" applyProtection="1">
      <alignment horizontal="center"/>
      <protection hidden="1"/>
    </xf>
    <xf numFmtId="0" fontId="0" fillId="35" borderId="18" xfId="0" applyFill="1" applyBorder="1" applyAlignment="1" applyProtection="1">
      <alignment horizontal="center"/>
      <protection hidden="1"/>
    </xf>
    <xf numFmtId="0" fontId="3" fillId="35" borderId="14" xfId="0" applyFont="1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 horizontal="center"/>
      <protection hidden="1"/>
    </xf>
    <xf numFmtId="164" fontId="0" fillId="33" borderId="11" xfId="0" applyNumberFormat="1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164" fontId="0" fillId="33" borderId="10" xfId="0" applyNumberForma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left" inden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1" fontId="0" fillId="33" borderId="10" xfId="0" applyNumberForma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left" indent="1"/>
      <protection hidden="1"/>
    </xf>
    <xf numFmtId="0" fontId="0" fillId="33" borderId="12" xfId="0" applyFill="1" applyBorder="1" applyAlignment="1" applyProtection="1">
      <alignment horizontal="left" indent="2"/>
      <protection hidden="1"/>
    </xf>
    <xf numFmtId="0" fontId="5" fillId="33" borderId="12" xfId="0" applyFont="1" applyFill="1" applyBorder="1" applyAlignment="1" applyProtection="1">
      <alignment horizontal="left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3" fontId="6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/>
      <protection hidden="1"/>
    </xf>
    <xf numFmtId="3" fontId="0" fillId="34" borderId="18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3" fontId="0" fillId="0" borderId="14" xfId="0" applyNumberFormat="1" applyFont="1" applyFill="1" applyBorder="1" applyAlignment="1" applyProtection="1">
      <alignment horizontal="center"/>
      <protection hidden="1"/>
    </xf>
    <xf numFmtId="3" fontId="0" fillId="33" borderId="16" xfId="0" applyNumberFormat="1" applyFill="1" applyBorder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3" fontId="0" fillId="33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3" fontId="3" fillId="33" borderId="0" xfId="0" applyNumberFormat="1" applyFont="1" applyFill="1" applyBorder="1" applyAlignment="1" applyProtection="1">
      <alignment/>
      <protection hidden="1"/>
    </xf>
    <xf numFmtId="2" fontId="0" fillId="33" borderId="12" xfId="0" applyNumberForma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left" indent="1"/>
      <protection hidden="1"/>
    </xf>
    <xf numFmtId="0" fontId="0" fillId="33" borderId="13" xfId="0" applyFill="1" applyBorder="1" applyAlignment="1" applyProtection="1">
      <alignment horizontal="left" indent="1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3" fontId="0" fillId="33" borderId="13" xfId="0" applyNumberFormat="1" applyFont="1" applyFill="1" applyBorder="1" applyAlignment="1" applyProtection="1">
      <alignment/>
      <protection hidden="1"/>
    </xf>
    <xf numFmtId="2" fontId="0" fillId="33" borderId="14" xfId="0" applyNumberFormat="1" applyFill="1" applyBorder="1" applyAlignment="1" applyProtection="1">
      <alignment/>
      <protection hidden="1"/>
    </xf>
    <xf numFmtId="3" fontId="3" fillId="36" borderId="16" xfId="0" applyNumberFormat="1" applyFont="1" applyFill="1" applyBorder="1" applyAlignment="1" applyProtection="1">
      <alignment/>
      <protection hidden="1"/>
    </xf>
    <xf numFmtId="3" fontId="5" fillId="36" borderId="0" xfId="0" applyNumberFormat="1" applyFont="1" applyFill="1" applyBorder="1" applyAlignment="1" applyProtection="1">
      <alignment/>
      <protection hidden="1"/>
    </xf>
    <xf numFmtId="3" fontId="0" fillId="36" borderId="0" xfId="0" applyNumberFormat="1" applyFill="1" applyBorder="1" applyAlignment="1" applyProtection="1">
      <alignment/>
      <protection hidden="1"/>
    </xf>
    <xf numFmtId="3" fontId="4" fillId="36" borderId="0" xfId="0" applyNumberFormat="1" applyFont="1" applyFill="1" applyBorder="1" applyAlignment="1" applyProtection="1">
      <alignment/>
      <protection hidden="1"/>
    </xf>
    <xf numFmtId="0" fontId="3" fillId="35" borderId="17" xfId="0" applyFont="1" applyFill="1" applyBorder="1" applyAlignment="1" applyProtection="1">
      <alignment horizontal="center"/>
      <protection hidden="1"/>
    </xf>
    <xf numFmtId="1" fontId="3" fillId="35" borderId="18" xfId="0" applyNumberFormat="1" applyFont="1" applyFill="1" applyBorder="1" applyAlignment="1" applyProtection="1">
      <alignment horizontal="center"/>
      <protection hidden="1"/>
    </xf>
    <xf numFmtId="164" fontId="3" fillId="35" borderId="18" xfId="0" applyNumberFormat="1" applyFont="1" applyFill="1" applyBorder="1" applyAlignment="1" applyProtection="1">
      <alignment horizontal="center"/>
      <protection hidden="1"/>
    </xf>
    <xf numFmtId="164" fontId="3" fillId="35" borderId="19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17" xfId="0" applyNumberFormat="1" applyFont="1" applyBorder="1" applyAlignment="1" applyProtection="1">
      <alignment horizontal="center"/>
      <protection hidden="1"/>
    </xf>
    <xf numFmtId="3" fontId="0" fillId="0" borderId="19" xfId="0" applyNumberFormat="1" applyFont="1" applyBorder="1" applyAlignment="1" applyProtection="1">
      <alignment horizontal="center"/>
      <protection hidden="1"/>
    </xf>
    <xf numFmtId="164" fontId="0" fillId="33" borderId="18" xfId="0" applyNumberFormat="1" applyFill="1" applyBorder="1" applyAlignment="1" applyProtection="1">
      <alignment/>
      <protection hidden="1"/>
    </xf>
    <xf numFmtId="2" fontId="0" fillId="33" borderId="18" xfId="0" applyNumberFormat="1" applyFill="1" applyBorder="1" applyAlignment="1" applyProtection="1">
      <alignment/>
      <protection hidden="1"/>
    </xf>
    <xf numFmtId="3" fontId="0" fillId="36" borderId="18" xfId="0" applyNumberFormat="1" applyFill="1" applyBorder="1" applyAlignment="1" applyProtection="1">
      <alignment/>
      <protection hidden="1"/>
    </xf>
    <xf numFmtId="3" fontId="0" fillId="36" borderId="19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3" fontId="3" fillId="36" borderId="17" xfId="0" applyNumberFormat="1" applyFont="1" applyFill="1" applyBorder="1" applyAlignment="1" applyProtection="1">
      <alignment/>
      <protection hidden="1"/>
    </xf>
    <xf numFmtId="3" fontId="5" fillId="36" borderId="18" xfId="0" applyNumberFormat="1" applyFont="1" applyFill="1" applyBorder="1" applyAlignment="1" applyProtection="1">
      <alignment/>
      <protection hidden="1"/>
    </xf>
    <xf numFmtId="3" fontId="4" fillId="36" borderId="18" xfId="0" applyNumberFormat="1" applyFont="1" applyFill="1" applyBorder="1" applyAlignment="1" applyProtection="1">
      <alignment/>
      <protection hidden="1"/>
    </xf>
    <xf numFmtId="3" fontId="3" fillId="0" borderId="15" xfId="0" applyNumberFormat="1" applyFont="1" applyBorder="1" applyAlignment="1" applyProtection="1">
      <alignment horizontal="right"/>
      <protection hidden="1"/>
    </xf>
    <xf numFmtId="3" fontId="0" fillId="0" borderId="17" xfId="0" applyNumberFormat="1" applyFont="1" applyBorder="1" applyAlignment="1" applyProtection="1">
      <alignment horizontal="right"/>
      <protection hidden="1"/>
    </xf>
    <xf numFmtId="3" fontId="0" fillId="0" borderId="15" xfId="0" applyNumberFormat="1" applyFont="1" applyFill="1" applyBorder="1" applyAlignment="1" applyProtection="1">
      <alignment horizontal="right"/>
      <protection hidden="1"/>
    </xf>
    <xf numFmtId="3" fontId="0" fillId="0" borderId="16" xfId="0" applyNumberFormat="1" applyFont="1" applyBorder="1" applyAlignment="1" applyProtection="1">
      <alignment horizontal="right"/>
      <protection hidden="1"/>
    </xf>
    <xf numFmtId="3" fontId="3" fillId="0" borderId="14" xfId="0" applyNumberFormat="1" applyFont="1" applyBorder="1" applyAlignment="1" applyProtection="1">
      <alignment horizontal="right"/>
      <protection hidden="1"/>
    </xf>
    <xf numFmtId="3" fontId="0" fillId="0" borderId="19" xfId="0" applyNumberFormat="1" applyFont="1" applyBorder="1" applyAlignment="1" applyProtection="1">
      <alignment horizontal="right"/>
      <protection hidden="1"/>
    </xf>
    <xf numFmtId="3" fontId="0" fillId="0" borderId="14" xfId="0" applyNumberFormat="1" applyFont="1" applyFill="1" applyBorder="1" applyAlignment="1" applyProtection="1">
      <alignment horizontal="right"/>
      <protection hidden="1"/>
    </xf>
    <xf numFmtId="3" fontId="0" fillId="0" borderId="20" xfId="0" applyNumberFormat="1" applyFont="1" applyBorder="1" applyAlignment="1" applyProtection="1">
      <alignment horizontal="right"/>
      <protection hidden="1"/>
    </xf>
    <xf numFmtId="3" fontId="4" fillId="36" borderId="15" xfId="0" applyNumberFormat="1" applyFont="1" applyFill="1" applyBorder="1" applyAlignment="1" applyProtection="1">
      <alignment horizontal="right"/>
      <protection hidden="1"/>
    </xf>
    <xf numFmtId="9" fontId="4" fillId="36" borderId="17" xfId="0" applyNumberFormat="1" applyFont="1" applyFill="1" applyBorder="1" applyAlignment="1" applyProtection="1">
      <alignment horizontal="right"/>
      <protection hidden="1"/>
    </xf>
    <xf numFmtId="3" fontId="0" fillId="33" borderId="16" xfId="0" applyNumberFormat="1" applyFill="1" applyBorder="1" applyAlignment="1" applyProtection="1">
      <alignment horizontal="right"/>
      <protection hidden="1"/>
    </xf>
    <xf numFmtId="3" fontId="4" fillId="36" borderId="16" xfId="0" applyNumberFormat="1" applyFont="1" applyFill="1" applyBorder="1" applyAlignment="1" applyProtection="1">
      <alignment horizontal="right"/>
      <protection hidden="1"/>
    </xf>
    <xf numFmtId="3" fontId="0" fillId="36" borderId="12" xfId="0" applyNumberFormat="1" applyFill="1" applyBorder="1" applyAlignment="1" applyProtection="1">
      <alignment horizontal="right"/>
      <protection hidden="1"/>
    </xf>
    <xf numFmtId="3" fontId="0" fillId="36" borderId="0" xfId="0" applyNumberFormat="1" applyFill="1" applyBorder="1" applyAlignment="1" applyProtection="1">
      <alignment horizontal="right"/>
      <protection hidden="1"/>
    </xf>
    <xf numFmtId="3" fontId="0" fillId="33" borderId="0" xfId="0" applyNumberFormat="1" applyFill="1" applyBorder="1" applyAlignment="1" applyProtection="1">
      <alignment horizontal="right"/>
      <protection hidden="1"/>
    </xf>
    <xf numFmtId="3" fontId="0" fillId="33" borderId="0" xfId="0" applyNumberFormat="1" applyFont="1" applyFill="1" applyBorder="1" applyAlignment="1" applyProtection="1">
      <alignment horizontal="right"/>
      <protection hidden="1"/>
    </xf>
    <xf numFmtId="3" fontId="3" fillId="33" borderId="0" xfId="0" applyNumberFormat="1" applyFont="1" applyFill="1" applyBorder="1" applyAlignment="1" applyProtection="1">
      <alignment horizontal="right"/>
      <protection hidden="1"/>
    </xf>
    <xf numFmtId="3" fontId="4" fillId="36" borderId="12" xfId="0" applyNumberFormat="1" applyFont="1" applyFill="1" applyBorder="1" applyAlignment="1" applyProtection="1">
      <alignment horizontal="right"/>
      <protection hidden="1"/>
    </xf>
    <xf numFmtId="9" fontId="4" fillId="36" borderId="18" xfId="0" applyNumberFormat="1" applyFont="1" applyFill="1" applyBorder="1" applyAlignment="1" applyProtection="1">
      <alignment horizontal="right"/>
      <protection hidden="1"/>
    </xf>
    <xf numFmtId="3" fontId="4" fillId="36" borderId="0" xfId="0" applyNumberFormat="1" applyFont="1" applyFill="1" applyBorder="1" applyAlignment="1" applyProtection="1">
      <alignment horizontal="right"/>
      <protection hidden="1"/>
    </xf>
    <xf numFmtId="3" fontId="0" fillId="36" borderId="18" xfId="0" applyNumberFormat="1" applyFill="1" applyBorder="1" applyAlignment="1" applyProtection="1">
      <alignment horizontal="right"/>
      <protection hidden="1"/>
    </xf>
    <xf numFmtId="3" fontId="0" fillId="33" borderId="10" xfId="0" applyNumberFormat="1" applyFont="1" applyFill="1" applyBorder="1" applyAlignment="1" applyProtection="1">
      <alignment horizontal="right"/>
      <protection hidden="1"/>
    </xf>
    <xf numFmtId="3" fontId="0" fillId="36" borderId="14" xfId="0" applyNumberFormat="1" applyFill="1" applyBorder="1" applyAlignment="1" applyProtection="1">
      <alignment horizontal="right"/>
      <protection hidden="1"/>
    </xf>
    <xf numFmtId="3" fontId="0" fillId="36" borderId="19" xfId="0" applyNumberFormat="1" applyFill="1" applyBorder="1" applyAlignment="1" applyProtection="1">
      <alignment horizontal="right"/>
      <protection hidden="1"/>
    </xf>
    <xf numFmtId="3" fontId="0" fillId="33" borderId="13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right"/>
      <protection hidden="1"/>
    </xf>
    <xf numFmtId="3" fontId="0" fillId="0" borderId="0" xfId="0" applyNumberFormat="1" applyFill="1" applyAlignment="1" applyProtection="1">
      <alignment horizontal="right"/>
      <protection hidden="1"/>
    </xf>
    <xf numFmtId="3" fontId="0" fillId="0" borderId="0" xfId="0" applyNumberFormat="1" applyAlignment="1">
      <alignment horizontal="right"/>
    </xf>
    <xf numFmtId="1" fontId="3" fillId="35" borderId="0" xfId="0" applyNumberFormat="1" applyFont="1" applyFill="1" applyBorder="1" applyAlignment="1" applyProtection="1">
      <alignment horizontal="right"/>
      <protection hidden="1"/>
    </xf>
    <xf numFmtId="9" fontId="0" fillId="35" borderId="18" xfId="0" applyNumberFormat="1" applyFill="1" applyBorder="1" applyAlignment="1" applyProtection="1">
      <alignment horizontal="right"/>
      <protection hidden="1"/>
    </xf>
    <xf numFmtId="1" fontId="5" fillId="35" borderId="0" xfId="0" applyNumberFormat="1" applyFont="1" applyFill="1" applyBorder="1" applyAlignment="1" applyProtection="1">
      <alignment horizontal="right"/>
      <protection hidden="1"/>
    </xf>
    <xf numFmtId="9" fontId="5" fillId="35" borderId="18" xfId="58" applyFont="1" applyFill="1" applyBorder="1" applyAlignment="1" applyProtection="1">
      <alignment horizontal="right"/>
      <protection hidden="1"/>
    </xf>
    <xf numFmtId="168" fontId="5" fillId="35" borderId="18" xfId="58" applyNumberFormat="1" applyFont="1" applyFill="1" applyBorder="1" applyAlignment="1" applyProtection="1">
      <alignment horizontal="right"/>
      <protection hidden="1"/>
    </xf>
    <xf numFmtId="168" fontId="3" fillId="35" borderId="0" xfId="58" applyNumberFormat="1" applyFont="1" applyFill="1" applyBorder="1" applyAlignment="1" applyProtection="1">
      <alignment horizontal="right"/>
      <protection hidden="1"/>
    </xf>
    <xf numFmtId="0" fontId="0" fillId="35" borderId="18" xfId="0" applyFill="1" applyBorder="1" applyAlignment="1" applyProtection="1">
      <alignment horizontal="right"/>
      <protection hidden="1"/>
    </xf>
    <xf numFmtId="2" fontId="3" fillId="35" borderId="0" xfId="0" applyNumberFormat="1" applyFont="1" applyFill="1" applyBorder="1" applyAlignment="1" applyProtection="1">
      <alignment horizontal="right"/>
      <protection hidden="1"/>
    </xf>
    <xf numFmtId="0" fontId="0" fillId="35" borderId="19" xfId="0" applyFill="1" applyBorder="1" applyAlignment="1" applyProtection="1">
      <alignment horizontal="right"/>
      <protection hidden="1"/>
    </xf>
    <xf numFmtId="1" fontId="3" fillId="35" borderId="12" xfId="0" applyNumberFormat="1" applyFont="1" applyFill="1" applyBorder="1" applyAlignment="1" applyProtection="1">
      <alignment horizontal="right"/>
      <protection hidden="1"/>
    </xf>
    <xf numFmtId="1" fontId="5" fillId="35" borderId="12" xfId="0" applyNumberFormat="1" applyFont="1" applyFill="1" applyBorder="1" applyAlignment="1" applyProtection="1">
      <alignment horizontal="right"/>
      <protection hidden="1"/>
    </xf>
    <xf numFmtId="168" fontId="3" fillId="35" borderId="12" xfId="58" applyNumberFormat="1" applyFont="1" applyFill="1" applyBorder="1" applyAlignment="1" applyProtection="1">
      <alignment horizontal="right"/>
      <protection hidden="1"/>
    </xf>
    <xf numFmtId="2" fontId="3" fillId="35" borderId="12" xfId="0" applyNumberFormat="1" applyFont="1" applyFill="1" applyBorder="1" applyAlignment="1" applyProtection="1">
      <alignment horizontal="right"/>
      <protection hidden="1"/>
    </xf>
    <xf numFmtId="0" fontId="3" fillId="35" borderId="21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 horizontal="center"/>
      <protection hidden="1"/>
    </xf>
    <xf numFmtId="3" fontId="0" fillId="0" borderId="20" xfId="0" applyNumberFormat="1" applyFill="1" applyBorder="1" applyAlignment="1" applyProtection="1">
      <alignment/>
      <protection hidden="1"/>
    </xf>
    <xf numFmtId="0" fontId="3" fillId="35" borderId="21" xfId="0" applyFont="1" applyFill="1" applyBorder="1" applyAlignment="1" applyProtection="1">
      <alignment horizontal="right"/>
      <protection hidden="1"/>
    </xf>
    <xf numFmtId="0" fontId="0" fillId="35" borderId="22" xfId="0" applyFill="1" applyBorder="1" applyAlignment="1" applyProtection="1">
      <alignment horizontal="right"/>
      <protection hidden="1"/>
    </xf>
    <xf numFmtId="3" fontId="0" fillId="0" borderId="20" xfId="0" applyNumberFormat="1" applyFill="1" applyBorder="1" applyAlignment="1" applyProtection="1">
      <alignment horizontal="right"/>
      <protection hidden="1"/>
    </xf>
    <xf numFmtId="0" fontId="3" fillId="35" borderId="23" xfId="0" applyFont="1" applyFill="1" applyBorder="1" applyAlignment="1" applyProtection="1">
      <alignment horizontal="right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3" fontId="6" fillId="34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 horizontal="right"/>
      <protection hidden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Fill="1" applyAlignment="1">
      <alignment wrapText="1"/>
    </xf>
    <xf numFmtId="9" fontId="0" fillId="34" borderId="10" xfId="58" applyNumberFormat="1" applyFont="1" applyFill="1" applyBorder="1" applyAlignment="1" applyProtection="1">
      <alignment horizontal="left" wrapText="1"/>
      <protection locked="0"/>
    </xf>
    <xf numFmtId="9" fontId="7" fillId="33" borderId="12" xfId="0" applyNumberFormat="1" applyFont="1" applyFill="1" applyBorder="1" applyAlignment="1" applyProtection="1">
      <alignment wrapText="1"/>
      <protection/>
    </xf>
    <xf numFmtId="3" fontId="3" fillId="36" borderId="15" xfId="0" applyNumberFormat="1" applyFont="1" applyFill="1" applyBorder="1" applyAlignment="1" applyProtection="1">
      <alignment/>
      <protection hidden="1"/>
    </xf>
    <xf numFmtId="3" fontId="5" fillId="36" borderId="12" xfId="0" applyNumberFormat="1" applyFont="1" applyFill="1" applyBorder="1" applyAlignment="1" applyProtection="1">
      <alignment/>
      <protection hidden="1"/>
    </xf>
    <xf numFmtId="3" fontId="0" fillId="36" borderId="12" xfId="0" applyNumberFormat="1" applyFill="1" applyBorder="1" applyAlignment="1" applyProtection="1">
      <alignment/>
      <protection hidden="1"/>
    </xf>
    <xf numFmtId="3" fontId="4" fillId="36" borderId="12" xfId="0" applyNumberFormat="1" applyFont="1" applyFill="1" applyBorder="1" applyAlignment="1" applyProtection="1">
      <alignment/>
      <protection hidden="1"/>
    </xf>
    <xf numFmtId="3" fontId="0" fillId="36" borderId="14" xfId="0" applyNumberFormat="1" applyFill="1" applyBorder="1" applyAlignment="1" applyProtection="1">
      <alignment/>
      <protection hidden="1"/>
    </xf>
    <xf numFmtId="3" fontId="3" fillId="36" borderId="15" xfId="0" applyNumberFormat="1" applyFont="1" applyFill="1" applyBorder="1" applyAlignment="1" applyProtection="1">
      <alignment horizontal="center"/>
      <protection hidden="1"/>
    </xf>
    <xf numFmtId="3" fontId="5" fillId="36" borderId="12" xfId="0" applyNumberFormat="1" applyFont="1" applyFill="1" applyBorder="1" applyAlignment="1" applyProtection="1">
      <alignment horizontal="center"/>
      <protection hidden="1"/>
    </xf>
    <xf numFmtId="3" fontId="0" fillId="36" borderId="12" xfId="0" applyNumberFormat="1" applyFill="1" applyBorder="1" applyAlignment="1" applyProtection="1">
      <alignment horizontal="center"/>
      <protection hidden="1"/>
    </xf>
    <xf numFmtId="3" fontId="4" fillId="36" borderId="12" xfId="0" applyNumberFormat="1" applyFont="1" applyFill="1" applyBorder="1" applyAlignment="1" applyProtection="1">
      <alignment horizontal="center"/>
      <protection hidden="1"/>
    </xf>
    <xf numFmtId="3" fontId="0" fillId="36" borderId="14" xfId="0" applyNumberFormat="1" applyFill="1" applyBorder="1" applyAlignment="1" applyProtection="1">
      <alignment horizontal="center"/>
      <protection hidden="1"/>
    </xf>
    <xf numFmtId="3" fontId="3" fillId="0" borderId="15" xfId="0" applyNumberFormat="1" applyFont="1" applyBorder="1" applyAlignment="1" applyProtection="1">
      <alignment horizontal="center"/>
      <protection hidden="1"/>
    </xf>
    <xf numFmtId="3" fontId="3" fillId="0" borderId="14" xfId="0" applyNumberFormat="1" applyFont="1" applyBorder="1" applyAlignment="1" applyProtection="1">
      <alignment horizontal="center"/>
      <protection hidden="1"/>
    </xf>
    <xf numFmtId="167" fontId="0" fillId="33" borderId="10" xfId="0" applyNumberForma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 wrapText="1"/>
      <protection hidden="1"/>
    </xf>
    <xf numFmtId="0" fontId="3" fillId="0" borderId="10" xfId="0" applyFont="1" applyBorder="1" applyAlignment="1" applyProtection="1">
      <alignment horizontal="left" wrapText="1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165" fontId="0" fillId="33" borderId="12" xfId="0" applyNumberFormat="1" applyFill="1" applyBorder="1" applyAlignment="1" applyProtection="1">
      <alignment/>
      <protection hidden="1"/>
    </xf>
    <xf numFmtId="9" fontId="5" fillId="35" borderId="18" xfId="58" applyNumberFormat="1" applyFont="1" applyFill="1" applyBorder="1" applyAlignment="1" applyProtection="1">
      <alignment horizontal="center"/>
      <protection hidden="1"/>
    </xf>
    <xf numFmtId="165" fontId="0" fillId="33" borderId="10" xfId="0" applyNumberFormat="1" applyFill="1" applyBorder="1" applyAlignment="1" applyProtection="1">
      <alignment/>
      <protection hidden="1"/>
    </xf>
    <xf numFmtId="165" fontId="3" fillId="35" borderId="20" xfId="0" applyNumberFormat="1" applyFont="1" applyFill="1" applyBorder="1" applyAlignment="1" applyProtection="1">
      <alignment horizontal="center"/>
      <protection hidden="1"/>
    </xf>
    <xf numFmtId="2" fontId="3" fillId="35" borderId="0" xfId="0" applyNumberFormat="1" applyFont="1" applyFill="1" applyBorder="1" applyAlignment="1" applyProtection="1">
      <alignment horizontal="center"/>
      <protection hidden="1"/>
    </xf>
    <xf numFmtId="169" fontId="0" fillId="36" borderId="12" xfId="0" applyNumberFormat="1" applyFill="1" applyBorder="1" applyAlignment="1" applyProtection="1">
      <alignment horizontal="center"/>
      <protection hidden="1"/>
    </xf>
    <xf numFmtId="166" fontId="3" fillId="35" borderId="14" xfId="0" applyNumberFormat="1" applyFont="1" applyFill="1" applyBorder="1" applyAlignment="1" applyProtection="1">
      <alignment horizontal="right"/>
      <protection hidden="1"/>
    </xf>
    <xf numFmtId="166" fontId="3" fillId="35" borderId="20" xfId="0" applyNumberFormat="1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s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Milieuimpact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2275"/>
          <c:w val="0.702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Milieuscores!$B$5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(Milieuscores!$F$14,Milieuscores!$I$14,Milieuscores!$L$14)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(Milieuscores!$F$5,Milieuscores!$I$5,Milieuscores!$L$5)</c:f>
              <c:numCache>
                <c:ptCount val="3"/>
                <c:pt idx="0">
                  <c:v>298857.43679120566</c:v>
                </c:pt>
                <c:pt idx="1">
                  <c:v>298857.43679120566</c:v>
                </c:pt>
                <c:pt idx="2">
                  <c:v>246625.64150873618</c:v>
                </c:pt>
              </c:numCache>
            </c:numRef>
          </c:val>
        </c:ser>
        <c:ser>
          <c:idx val="1"/>
          <c:order val="1"/>
          <c:tx>
            <c:strRef>
              <c:f>Milieuscores!$B$6</c:f>
              <c:strCache>
                <c:ptCount val="1"/>
                <c:pt idx="0">
                  <c:v>hulpstoffen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(Milieuscores!$F$14,Milieuscores!$I$14,Milieuscores!$L$14)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(Milieuscores!$F$6,Milieuscores!$I$6,Milieuscores!$L$6)</c:f>
              <c:numCache>
                <c:ptCount val="3"/>
                <c:pt idx="0">
                  <c:v>93740</c:v>
                </c:pt>
                <c:pt idx="1">
                  <c:v>127166.00000000001</c:v>
                </c:pt>
                <c:pt idx="2">
                  <c:v>102209.70000000001</c:v>
                </c:pt>
              </c:numCache>
            </c:numRef>
          </c:val>
        </c:ser>
        <c:ser>
          <c:idx val="2"/>
          <c:order val="2"/>
          <c:tx>
            <c:strRef>
              <c:f>Milieuscores!$B$7</c:f>
              <c:strCache>
                <c:ptCount val="1"/>
                <c:pt idx="0">
                  <c:v>broeikasgassen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(Milieuscores!$F$14,Milieuscores!$I$14,Milieuscores!$L$14)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(Milieuscores!$F$7,Milieuscores!$I$7,Milieuscores!$L$7)</c:f>
              <c:numCache>
                <c:ptCount val="3"/>
                <c:pt idx="0">
                  <c:v>178272.97892</c:v>
                </c:pt>
                <c:pt idx="1">
                  <c:v>178272.97892</c:v>
                </c:pt>
                <c:pt idx="2">
                  <c:v>178308.875366</c:v>
                </c:pt>
              </c:numCache>
            </c:numRef>
          </c:val>
        </c:ser>
        <c:ser>
          <c:idx val="3"/>
          <c:order val="3"/>
          <c:tx>
            <c:strRef>
              <c:f>Milieuscores!$B$8</c:f>
              <c:strCache>
                <c:ptCount val="1"/>
                <c:pt idx="0">
                  <c:v>slibverwerking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(Milieuscores!$F$14,Milieuscores!$I$14,Milieuscores!$L$14)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(Milieuscores!$F$8,Milieuscores!$I$8,Milieuscores!$L$8)</c:f>
              <c:numCache>
                <c:ptCount val="3"/>
                <c:pt idx="0">
                  <c:v>150846</c:v>
                </c:pt>
                <c:pt idx="1">
                  <c:v>158956</c:v>
                </c:pt>
                <c:pt idx="2">
                  <c:v>138681</c:v>
                </c:pt>
              </c:numCache>
            </c:numRef>
          </c:val>
        </c:ser>
        <c:ser>
          <c:idx val="4"/>
          <c:order val="4"/>
          <c:tx>
            <c:strRef>
              <c:f>Milieuscores!$B$9</c:f>
              <c:strCache>
                <c:ptCount val="1"/>
                <c:pt idx="0">
                  <c:v>materiaal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(Milieuscores!$F$14,Milieuscores!$I$14,Milieuscores!$L$14)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(Milieuscores!$F$9,Milieuscores!$I$9,Milieuscores!$L$9)</c:f>
              <c:numCache>
                <c:ptCount val="3"/>
                <c:pt idx="0">
                  <c:v>12622.133333333333</c:v>
                </c:pt>
                <c:pt idx="1">
                  <c:v>13543.416666666666</c:v>
                </c:pt>
                <c:pt idx="2">
                  <c:v>8241.9</c:v>
                </c:pt>
              </c:numCache>
            </c:numRef>
          </c:val>
        </c:ser>
        <c:overlap val="100"/>
        <c:axId val="14814935"/>
        <c:axId val="66225552"/>
      </c:bar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auto val="1"/>
        <c:lblOffset val="100"/>
        <c:tickLblSkip val="1"/>
        <c:noMultiLvlLbl val="0"/>
      </c:catAx>
      <c:valAx>
        <c:axId val="6622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Pt/jaar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935"/>
          <c:w val="0.2155"/>
          <c:h val="0.5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Primaire Energiebehoefte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445"/>
          <c:w val="0.70525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'Energie in GJp'!$B$5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('Energie in GJp'!$F$15,'Energie in GJp'!$I$15,'Energie in GJp'!$L$15)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('Energie in GJp'!$F$5,'Energie in GJp'!$I$5,'Energie in GJp'!$L$5)</c:f>
              <c:numCache>
                <c:ptCount val="3"/>
                <c:pt idx="0">
                  <c:v>86546.375</c:v>
                </c:pt>
                <c:pt idx="1">
                  <c:v>86546.375</c:v>
                </c:pt>
                <c:pt idx="2">
                  <c:v>79962.245</c:v>
                </c:pt>
              </c:numCache>
            </c:numRef>
          </c:val>
        </c:ser>
        <c:ser>
          <c:idx val="1"/>
          <c:order val="1"/>
          <c:tx>
            <c:strRef>
              <c:f>'Energie in GJp'!$B$6</c:f>
              <c:strCache>
                <c:ptCount val="1"/>
                <c:pt idx="0">
                  <c:v>hulpstoffen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('Energie in GJp'!$F$15,'Energie in GJp'!$I$15,'Energie in GJp'!$L$15)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('Energie in GJp'!$F$6,'Energie in GJp'!$I$6,'Energie in GJp'!$L$6)</c:f>
              <c:numCache>
                <c:ptCount val="3"/>
                <c:pt idx="0">
                  <c:v>17082.5</c:v>
                </c:pt>
                <c:pt idx="1">
                  <c:v>23060.875</c:v>
                </c:pt>
                <c:pt idx="2">
                  <c:v>18600.328</c:v>
                </c:pt>
              </c:numCache>
            </c:numRef>
          </c:val>
        </c:ser>
        <c:ser>
          <c:idx val="2"/>
          <c:order val="2"/>
          <c:tx>
            <c:strRef>
              <c:f>'Energie in GJp'!$B$7</c:f>
              <c:strCache>
                <c:ptCount val="1"/>
                <c:pt idx="0">
                  <c:v>slibverwerking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('Energie in GJp'!$F$15,'Energie in GJp'!$I$15,'Energie in GJp'!$L$15)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('Energie in GJp'!$F$7,'Energie in GJp'!$I$7,'Energie in GJp'!$L$7)</c:f>
              <c:numCache>
                <c:ptCount val="3"/>
                <c:pt idx="0">
                  <c:v>14973</c:v>
                </c:pt>
                <c:pt idx="1">
                  <c:v>15778.000000000002</c:v>
                </c:pt>
                <c:pt idx="2">
                  <c:v>13765.5</c:v>
                </c:pt>
              </c:numCache>
            </c:numRef>
          </c:val>
        </c:ser>
        <c:ser>
          <c:idx val="3"/>
          <c:order val="3"/>
          <c:tx>
            <c:strRef>
              <c:f>'Energie in GJp'!$B$8</c:f>
              <c:strCache>
                <c:ptCount val="1"/>
                <c:pt idx="0">
                  <c:v>materiaal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('Energie in GJp'!$F$15,'Energie in GJp'!$I$15,'Energie in GJp'!$L$15)</c:f>
              <c:strCache>
                <c:ptCount val="3"/>
                <c:pt idx="0">
                  <c:v>Bio-P</c:v>
                </c:pt>
                <c:pt idx="1">
                  <c:v>Chem-P</c:v>
                </c:pt>
                <c:pt idx="2">
                  <c:v>Preprecep</c:v>
                </c:pt>
              </c:strCache>
            </c:strRef>
          </c:cat>
          <c:val>
            <c:numRef>
              <c:f>('Energie in GJp'!$F$8,'Energie in GJp'!$I$8,'Energie in GJp'!$L$8)</c:f>
              <c:numCache>
                <c:ptCount val="3"/>
                <c:pt idx="0">
                  <c:v>1349.92</c:v>
                </c:pt>
                <c:pt idx="1">
                  <c:v>1448.45</c:v>
                </c:pt>
                <c:pt idx="2">
                  <c:v>881.46</c:v>
                </c:pt>
              </c:numCache>
            </c:numRef>
          </c:val>
        </c:ser>
        <c:overlap val="100"/>
        <c:axId val="59159057"/>
        <c:axId val="62669466"/>
      </c:barChart>
      <c:catAx>
        <c:axId val="59159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 val="autoZero"/>
        <c:auto val="1"/>
        <c:lblOffset val="100"/>
        <c:tickLblSkip val="1"/>
        <c:noMultiLvlLbl val="0"/>
      </c:catAx>
      <c:valAx>
        <c:axId val="6266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GJp/jaar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90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46525"/>
          <c:w val="0.2095"/>
          <c:h val="0.3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48.8515625" style="0" customWidth="1"/>
  </cols>
  <sheetData>
    <row r="1" ht="15">
      <c r="A1" s="29" t="s">
        <v>151</v>
      </c>
    </row>
    <row r="2" ht="15">
      <c r="A2" s="29"/>
    </row>
    <row r="3" ht="24">
      <c r="A3" s="30" t="s">
        <v>222</v>
      </c>
    </row>
    <row r="4" ht="12">
      <c r="A4" s="30"/>
    </row>
    <row r="5" ht="12">
      <c r="A5" s="31" t="s">
        <v>155</v>
      </c>
    </row>
    <row r="6" ht="12">
      <c r="A6" s="31"/>
    </row>
    <row r="7" ht="12">
      <c r="A7" s="31" t="s">
        <v>96</v>
      </c>
    </row>
    <row r="8" ht="12">
      <c r="A8" s="31"/>
    </row>
    <row r="9" ht="12">
      <c r="A9" s="31" t="s">
        <v>152</v>
      </c>
    </row>
    <row r="10" ht="12">
      <c r="A10" s="31" t="s">
        <v>232</v>
      </c>
    </row>
    <row r="11" ht="12">
      <c r="A11" s="31" t="s">
        <v>153</v>
      </c>
    </row>
    <row r="12" ht="12">
      <c r="A12" s="31"/>
    </row>
    <row r="13" ht="12">
      <c r="A13" s="31" t="s">
        <v>206</v>
      </c>
    </row>
    <row r="14" ht="12">
      <c r="A14" s="31" t="s">
        <v>207</v>
      </c>
    </row>
    <row r="15" ht="12">
      <c r="A15" s="31" t="s">
        <v>208</v>
      </c>
    </row>
    <row r="16" ht="12">
      <c r="A16" s="31"/>
    </row>
    <row r="17" ht="12">
      <c r="A17" s="31" t="s">
        <v>154</v>
      </c>
    </row>
    <row r="18" ht="12">
      <c r="A18" s="31" t="s">
        <v>209</v>
      </c>
    </row>
    <row r="19" ht="12">
      <c r="A19" s="31" t="s">
        <v>210</v>
      </c>
    </row>
    <row r="20" ht="12">
      <c r="A20" s="31" t="s">
        <v>211</v>
      </c>
    </row>
    <row r="21" ht="12">
      <c r="A21" s="31" t="s">
        <v>212</v>
      </c>
    </row>
    <row r="22" ht="12">
      <c r="A22" s="31"/>
    </row>
    <row r="23" ht="12">
      <c r="A23" s="227" t="s">
        <v>230</v>
      </c>
    </row>
    <row r="24" ht="12">
      <c r="A24" s="31" t="s">
        <v>229</v>
      </c>
    </row>
    <row r="25" ht="12">
      <c r="A25" s="31"/>
    </row>
    <row r="26" ht="12">
      <c r="A26" s="31"/>
    </row>
    <row r="27" ht="12">
      <c r="A27" s="31" t="s">
        <v>227</v>
      </c>
    </row>
    <row r="28" ht="12">
      <c r="A28" s="31" t="s">
        <v>231</v>
      </c>
    </row>
    <row r="29" ht="12">
      <c r="A29" s="31" t="s">
        <v>228</v>
      </c>
    </row>
  </sheetData>
  <sheetProtection password="C750" sheet="1" objects="1" scenarios="1" formatCell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5"/>
  <sheetViews>
    <sheetView workbookViewId="0" topLeftCell="A1">
      <selection activeCell="E9" sqref="E9"/>
    </sheetView>
  </sheetViews>
  <sheetFormatPr defaultColWidth="8.8515625" defaultRowHeight="12.75"/>
  <cols>
    <col min="1" max="1" width="1.1484375" style="0" customWidth="1"/>
    <col min="2" max="2" width="41.00390625" style="2" customWidth="1"/>
    <col min="3" max="3" width="15.28125" style="195" customWidth="1"/>
    <col min="4" max="4" width="9.00390625" style="195" customWidth="1"/>
    <col min="5" max="5" width="12.140625" style="25" customWidth="1"/>
    <col min="6" max="6" width="12.7109375" style="25" customWidth="1"/>
    <col min="7" max="7" width="12.28125" style="25" customWidth="1"/>
    <col min="8" max="8" width="39.140625" style="0" customWidth="1"/>
  </cols>
  <sheetData>
    <row r="1" spans="2:7" ht="15">
      <c r="B1" s="4" t="s">
        <v>36</v>
      </c>
      <c r="C1" s="185"/>
      <c r="D1" s="185"/>
      <c r="E1" s="33"/>
      <c r="F1" s="33"/>
      <c r="G1" s="33"/>
    </row>
    <row r="2" spans="2:7" ht="15">
      <c r="B2" s="4"/>
      <c r="C2" s="185"/>
      <c r="D2" s="185"/>
      <c r="E2" s="33"/>
      <c r="F2" s="33"/>
      <c r="G2" s="33"/>
    </row>
    <row r="3" spans="2:8" ht="30">
      <c r="B3" s="9" t="s">
        <v>41</v>
      </c>
      <c r="C3" s="186" t="s">
        <v>7</v>
      </c>
      <c r="D3" s="186"/>
      <c r="E3" s="85" t="s">
        <v>42</v>
      </c>
      <c r="F3" s="85" t="s">
        <v>42</v>
      </c>
      <c r="G3" s="85" t="s">
        <v>42</v>
      </c>
      <c r="H3" s="9" t="s">
        <v>143</v>
      </c>
    </row>
    <row r="4" spans="2:8" ht="15">
      <c r="B4" s="86"/>
      <c r="C4" s="187"/>
      <c r="D4" s="187"/>
      <c r="E4" s="87"/>
      <c r="F4" s="87"/>
      <c r="G4" s="87"/>
      <c r="H4" s="88"/>
    </row>
    <row r="5" spans="2:8" ht="12">
      <c r="B5" s="18"/>
      <c r="C5" s="188"/>
      <c r="D5" s="188"/>
      <c r="E5" s="84" t="s">
        <v>163</v>
      </c>
      <c r="F5" s="84" t="s">
        <v>167</v>
      </c>
      <c r="G5" s="84" t="s">
        <v>168</v>
      </c>
      <c r="H5" s="7"/>
    </row>
    <row r="6" spans="2:8" ht="15">
      <c r="B6" s="10" t="s">
        <v>202</v>
      </c>
      <c r="C6" s="189"/>
      <c r="D6" s="189"/>
      <c r="E6" s="179" t="s">
        <v>203</v>
      </c>
      <c r="F6" s="179" t="s">
        <v>204</v>
      </c>
      <c r="G6" s="179" t="s">
        <v>205</v>
      </c>
      <c r="H6" s="7"/>
    </row>
    <row r="7" spans="2:8" ht="12">
      <c r="B7" s="8"/>
      <c r="C7" s="189"/>
      <c r="D7" s="189"/>
      <c r="E7" s="180"/>
      <c r="F7" s="180"/>
      <c r="G7" s="180"/>
      <c r="H7" s="7"/>
    </row>
    <row r="8" spans="2:8" ht="15">
      <c r="B8" s="10" t="s">
        <v>13</v>
      </c>
      <c r="C8" s="189"/>
      <c r="D8" s="189"/>
      <c r="E8" s="34"/>
      <c r="F8" s="34"/>
      <c r="G8" s="34"/>
      <c r="H8" s="7"/>
    </row>
    <row r="9" spans="2:8" ht="12">
      <c r="B9" s="8" t="s">
        <v>144</v>
      </c>
      <c r="C9" s="189" t="s">
        <v>12</v>
      </c>
      <c r="D9" s="189"/>
      <c r="E9" s="35">
        <v>16142000</v>
      </c>
      <c r="F9" s="35">
        <v>16142000</v>
      </c>
      <c r="G9" s="35">
        <v>16142000</v>
      </c>
      <c r="H9" s="7"/>
    </row>
    <row r="10" spans="2:8" ht="12">
      <c r="B10" s="8" t="s">
        <v>125</v>
      </c>
      <c r="C10" s="189" t="s">
        <v>17</v>
      </c>
      <c r="D10" s="189"/>
      <c r="E10" s="35">
        <f>32500*365</f>
        <v>11862500</v>
      </c>
      <c r="F10" s="35">
        <f>32500*365</f>
        <v>11862500</v>
      </c>
      <c r="G10" s="35">
        <f>32500*365</f>
        <v>11862500</v>
      </c>
      <c r="H10" s="7"/>
    </row>
    <row r="11" spans="2:8" ht="12">
      <c r="B11" s="8" t="s">
        <v>127</v>
      </c>
      <c r="C11" s="189" t="s">
        <v>17</v>
      </c>
      <c r="D11" s="189"/>
      <c r="E11" s="35">
        <f>3050*365</f>
        <v>1113250</v>
      </c>
      <c r="F11" s="35">
        <f>3050*365</f>
        <v>1113250</v>
      </c>
      <c r="G11" s="35">
        <f>3050*365</f>
        <v>1113250</v>
      </c>
      <c r="H11" s="7"/>
    </row>
    <row r="12" spans="2:8" ht="12">
      <c r="B12" s="8" t="s">
        <v>126</v>
      </c>
      <c r="C12" s="189" t="s">
        <v>17</v>
      </c>
      <c r="D12" s="189"/>
      <c r="E12" s="35">
        <f>10/1000000*1000*E9</f>
        <v>161420</v>
      </c>
      <c r="F12" s="35">
        <f>10/1000000*1000*F9</f>
        <v>161420</v>
      </c>
      <c r="G12" s="35">
        <f>10/1000000*1000*G9</f>
        <v>161420</v>
      </c>
      <c r="H12" s="7"/>
    </row>
    <row r="13" spans="2:8" ht="12">
      <c r="B13" s="8" t="s">
        <v>1</v>
      </c>
      <c r="C13" s="189" t="s">
        <v>18</v>
      </c>
      <c r="D13" s="189"/>
      <c r="E13" s="35">
        <v>301000</v>
      </c>
      <c r="F13" s="35">
        <v>301000</v>
      </c>
      <c r="G13" s="35">
        <v>301000</v>
      </c>
      <c r="H13" s="7"/>
    </row>
    <row r="14" spans="2:8" ht="12">
      <c r="B14" s="8" t="s">
        <v>19</v>
      </c>
      <c r="C14" s="189" t="s">
        <v>18</v>
      </c>
      <c r="D14" s="189"/>
      <c r="E14" s="43">
        <f>((E10/365)+(4.57*E11/365))/150*1000</f>
        <v>309590</v>
      </c>
      <c r="F14" s="43">
        <f>((F10/365)+(4.57*F11/365))/150*1000</f>
        <v>309590</v>
      </c>
      <c r="G14" s="43">
        <f>((G10/365)+(4.57*G11/365))/150*1000</f>
        <v>309590</v>
      </c>
      <c r="H14" s="7"/>
    </row>
    <row r="15" spans="2:8" ht="12">
      <c r="B15" s="8"/>
      <c r="C15" s="189"/>
      <c r="D15" s="189"/>
      <c r="E15" s="36"/>
      <c r="F15" s="36"/>
      <c r="G15" s="36"/>
      <c r="H15" s="7"/>
    </row>
    <row r="16" spans="2:8" ht="12">
      <c r="B16" s="8" t="s">
        <v>25</v>
      </c>
      <c r="C16" s="189" t="s">
        <v>26</v>
      </c>
      <c r="D16" s="189"/>
      <c r="E16" s="35">
        <v>18600</v>
      </c>
      <c r="F16" s="35">
        <v>19600</v>
      </c>
      <c r="G16" s="35">
        <v>17100</v>
      </c>
      <c r="H16" s="7"/>
    </row>
    <row r="17" spans="2:8" ht="12">
      <c r="B17" s="8" t="s">
        <v>134</v>
      </c>
      <c r="C17" s="189" t="s">
        <v>15</v>
      </c>
      <c r="D17" s="189"/>
      <c r="E17" s="32">
        <v>0.211</v>
      </c>
      <c r="F17" s="32">
        <v>0.226</v>
      </c>
      <c r="G17" s="32">
        <v>0.226</v>
      </c>
      <c r="H17" s="7"/>
    </row>
    <row r="18" spans="2:8" ht="12">
      <c r="B18" s="8" t="s">
        <v>25</v>
      </c>
      <c r="C18" s="189" t="s">
        <v>158</v>
      </c>
      <c r="D18" s="189"/>
      <c r="E18" s="43">
        <f>E16*E17</f>
        <v>3924.6</v>
      </c>
      <c r="F18" s="43">
        <f>F16*F17</f>
        <v>4429.6</v>
      </c>
      <c r="G18" s="43">
        <f>G16*G17</f>
        <v>3864.6</v>
      </c>
      <c r="H18" s="7"/>
    </row>
    <row r="19" spans="2:8" ht="12">
      <c r="B19" s="8"/>
      <c r="C19" s="189"/>
      <c r="D19" s="189"/>
      <c r="E19" s="43"/>
      <c r="F19" s="43"/>
      <c r="G19" s="43"/>
      <c r="H19" s="7"/>
    </row>
    <row r="20" spans="2:8" ht="12">
      <c r="B20" s="8" t="s">
        <v>196</v>
      </c>
      <c r="C20" s="189" t="s">
        <v>198</v>
      </c>
      <c r="D20" s="189"/>
      <c r="E20" s="35">
        <v>50</v>
      </c>
      <c r="F20" s="35">
        <v>50</v>
      </c>
      <c r="G20" s="35">
        <v>50</v>
      </c>
      <c r="H20" s="7" t="s">
        <v>199</v>
      </c>
    </row>
    <row r="21" spans="2:8" ht="12">
      <c r="B21" s="8" t="s">
        <v>196</v>
      </c>
      <c r="C21" s="189" t="s">
        <v>49</v>
      </c>
      <c r="D21" s="189"/>
      <c r="E21" s="35">
        <v>10000</v>
      </c>
      <c r="F21" s="35">
        <v>10000</v>
      </c>
      <c r="G21" s="35">
        <v>10000</v>
      </c>
      <c r="H21" s="7" t="s">
        <v>199</v>
      </c>
    </row>
    <row r="22" spans="2:8" ht="12">
      <c r="B22" s="8" t="s">
        <v>197</v>
      </c>
      <c r="C22" s="189" t="s">
        <v>198</v>
      </c>
      <c r="D22" s="189"/>
      <c r="E22" s="35">
        <v>100</v>
      </c>
      <c r="F22" s="35">
        <v>100</v>
      </c>
      <c r="G22" s="35">
        <v>100</v>
      </c>
      <c r="H22" s="7" t="s">
        <v>200</v>
      </c>
    </row>
    <row r="23" spans="2:8" ht="12">
      <c r="B23" s="8" t="s">
        <v>197</v>
      </c>
      <c r="C23" s="189" t="s">
        <v>49</v>
      </c>
      <c r="D23" s="189"/>
      <c r="E23" s="35">
        <f>E16</f>
        <v>18600</v>
      </c>
      <c r="F23" s="35">
        <f>F16</f>
        <v>19600</v>
      </c>
      <c r="G23" s="35">
        <f>G16</f>
        <v>17100</v>
      </c>
      <c r="H23" s="7" t="s">
        <v>200</v>
      </c>
    </row>
    <row r="24" spans="2:8" ht="12">
      <c r="B24" s="8"/>
      <c r="C24" s="189"/>
      <c r="D24" s="189"/>
      <c r="E24" s="36"/>
      <c r="F24" s="36"/>
      <c r="G24" s="36"/>
      <c r="H24" s="7"/>
    </row>
    <row r="25" spans="2:8" ht="15">
      <c r="B25" s="10" t="s">
        <v>27</v>
      </c>
      <c r="C25" s="189"/>
      <c r="D25" s="189"/>
      <c r="E25" s="36"/>
      <c r="F25" s="36"/>
      <c r="G25" s="36"/>
      <c r="H25" s="7"/>
    </row>
    <row r="26" spans="2:8" ht="12">
      <c r="B26" s="11" t="s">
        <v>27</v>
      </c>
      <c r="C26" s="189"/>
      <c r="D26" s="189"/>
      <c r="E26" s="36"/>
      <c r="F26" s="36"/>
      <c r="G26" s="36"/>
      <c r="H26" s="7"/>
    </row>
    <row r="27" spans="2:8" ht="12">
      <c r="B27" s="12" t="s">
        <v>219</v>
      </c>
      <c r="C27" s="190" t="s">
        <v>8</v>
      </c>
      <c r="D27" s="190"/>
      <c r="E27" s="35">
        <v>3700000</v>
      </c>
      <c r="F27" s="35">
        <v>3700000</v>
      </c>
      <c r="G27" s="35">
        <v>2686500</v>
      </c>
      <c r="H27" s="184"/>
    </row>
    <row r="28" spans="2:8" ht="12">
      <c r="B28" s="12" t="s">
        <v>9</v>
      </c>
      <c r="C28" s="190" t="s">
        <v>10</v>
      </c>
      <c r="D28" s="190"/>
      <c r="E28" s="35">
        <v>11500</v>
      </c>
      <c r="F28" s="35">
        <v>11500</v>
      </c>
      <c r="G28" s="35">
        <v>11500</v>
      </c>
      <c r="H28" s="7"/>
    </row>
    <row r="29" spans="2:8" ht="12">
      <c r="B29" s="12" t="s">
        <v>11</v>
      </c>
      <c r="C29" s="190" t="s">
        <v>16</v>
      </c>
      <c r="D29" s="190"/>
      <c r="E29" s="35"/>
      <c r="F29" s="35"/>
      <c r="G29" s="35"/>
      <c r="H29" s="7"/>
    </row>
    <row r="30" spans="2:8" ht="12">
      <c r="B30" s="11" t="s">
        <v>28</v>
      </c>
      <c r="C30" s="190"/>
      <c r="D30" s="190"/>
      <c r="E30" s="37"/>
      <c r="F30" s="37"/>
      <c r="G30" s="37"/>
      <c r="H30" s="7"/>
    </row>
    <row r="31" spans="2:8" ht="12">
      <c r="B31" s="12" t="s">
        <v>100</v>
      </c>
      <c r="C31" s="190" t="s">
        <v>17</v>
      </c>
      <c r="D31" s="190"/>
      <c r="E31" s="35">
        <v>50000</v>
      </c>
      <c r="F31" s="35">
        <v>50000</v>
      </c>
      <c r="G31" s="35">
        <v>50000</v>
      </c>
      <c r="H31" s="7"/>
    </row>
    <row r="32" spans="2:8" s="1" customFormat="1" ht="12">
      <c r="B32" s="14"/>
      <c r="C32" s="191"/>
      <c r="D32" s="191"/>
      <c r="E32" s="38"/>
      <c r="F32" s="38"/>
      <c r="G32" s="38"/>
      <c r="H32" s="23"/>
    </row>
    <row r="33" spans="2:8" ht="15">
      <c r="B33" s="10" t="s">
        <v>2</v>
      </c>
      <c r="C33" s="189"/>
      <c r="D33" s="189"/>
      <c r="E33" s="36"/>
      <c r="F33" s="36"/>
      <c r="G33" s="36"/>
      <c r="H33" s="7"/>
    </row>
    <row r="34" spans="2:8" ht="12">
      <c r="B34" s="11" t="s">
        <v>3</v>
      </c>
      <c r="C34" s="189"/>
      <c r="D34" s="189"/>
      <c r="E34" s="36"/>
      <c r="F34" s="36"/>
      <c r="G34" s="36"/>
      <c r="H34" s="7"/>
    </row>
    <row r="35" spans="2:9" ht="12">
      <c r="B35" s="13" t="s">
        <v>14</v>
      </c>
      <c r="C35" s="189" t="s">
        <v>10</v>
      </c>
      <c r="D35" s="189"/>
      <c r="E35" s="35">
        <v>2270000</v>
      </c>
      <c r="F35" s="35">
        <v>2270000</v>
      </c>
      <c r="G35" s="35">
        <f>E35*1.05</f>
        <v>2383500</v>
      </c>
      <c r="H35" s="28" t="s">
        <v>99</v>
      </c>
      <c r="I35" s="22"/>
    </row>
    <row r="36" spans="2:8" ht="12">
      <c r="B36" s="13" t="s">
        <v>20</v>
      </c>
      <c r="C36" s="189" t="s">
        <v>10</v>
      </c>
      <c r="D36" s="189"/>
      <c r="E36" s="35">
        <v>92000</v>
      </c>
      <c r="F36" s="35">
        <v>92000</v>
      </c>
      <c r="G36" s="35">
        <f>E36*1.05</f>
        <v>96600</v>
      </c>
      <c r="H36" s="7"/>
    </row>
    <row r="37" spans="2:8" ht="12">
      <c r="B37" s="13" t="s">
        <v>24</v>
      </c>
      <c r="C37" s="189" t="s">
        <v>10</v>
      </c>
      <c r="D37" s="189"/>
      <c r="E37" s="43">
        <f>E35-E36</f>
        <v>2178000</v>
      </c>
      <c r="F37" s="43">
        <f>F35-F36</f>
        <v>2178000</v>
      </c>
      <c r="G37" s="43">
        <f>G35-G36</f>
        <v>2286900</v>
      </c>
      <c r="H37" s="7"/>
    </row>
    <row r="38" spans="2:8" ht="12">
      <c r="B38" s="15" t="s">
        <v>21</v>
      </c>
      <c r="C38" s="189" t="s">
        <v>10</v>
      </c>
      <c r="D38" s="189"/>
      <c r="E38" s="35"/>
      <c r="F38" s="35"/>
      <c r="G38" s="35"/>
      <c r="H38" s="7"/>
    </row>
    <row r="39" spans="2:8" ht="12">
      <c r="B39" s="15" t="s">
        <v>22</v>
      </c>
      <c r="C39" s="189" t="s">
        <v>10</v>
      </c>
      <c r="D39" s="189"/>
      <c r="E39" s="35">
        <f>E37</f>
        <v>2178000</v>
      </c>
      <c r="F39" s="35">
        <f>F37</f>
        <v>2178000</v>
      </c>
      <c r="G39" s="35">
        <f>G37</f>
        <v>2286900</v>
      </c>
      <c r="H39" s="7"/>
    </row>
    <row r="40" spans="2:8" ht="12">
      <c r="B40" s="15" t="s">
        <v>98</v>
      </c>
      <c r="C40" s="189" t="s">
        <v>10</v>
      </c>
      <c r="D40" s="189"/>
      <c r="E40" s="35"/>
      <c r="F40" s="35"/>
      <c r="G40" s="35"/>
      <c r="H40" s="7"/>
    </row>
    <row r="41" spans="2:8" ht="12">
      <c r="B41" s="13" t="s">
        <v>23</v>
      </c>
      <c r="C41" s="189" t="s">
        <v>8</v>
      </c>
      <c r="D41" s="189"/>
      <c r="E41" s="35">
        <v>4330000</v>
      </c>
      <c r="F41" s="35">
        <v>4330000</v>
      </c>
      <c r="G41" s="35">
        <f>4330000*1.05</f>
        <v>4546500</v>
      </c>
      <c r="H41" s="184"/>
    </row>
    <row r="42" spans="2:8" ht="12">
      <c r="B42" s="11" t="s">
        <v>142</v>
      </c>
      <c r="C42" s="189"/>
      <c r="D42" s="189"/>
      <c r="E42" s="36"/>
      <c r="F42" s="36"/>
      <c r="G42" s="36"/>
      <c r="H42" s="7"/>
    </row>
    <row r="43" spans="2:8" ht="12">
      <c r="B43" s="13" t="s">
        <v>30</v>
      </c>
      <c r="C43" s="189"/>
      <c r="D43" s="189"/>
      <c r="E43" s="36"/>
      <c r="F43" s="36"/>
      <c r="G43" s="36"/>
      <c r="H43" s="7"/>
    </row>
    <row r="44" spans="2:8" ht="12">
      <c r="B44" s="15" t="s">
        <v>137</v>
      </c>
      <c r="C44" s="189" t="s">
        <v>8</v>
      </c>
      <c r="D44" s="189"/>
      <c r="E44" s="35"/>
      <c r="F44" s="35"/>
      <c r="G44" s="35"/>
      <c r="H44" s="7"/>
    </row>
    <row r="45" spans="2:8" ht="12">
      <c r="B45" s="15" t="s">
        <v>138</v>
      </c>
      <c r="C45" s="189" t="s">
        <v>8</v>
      </c>
      <c r="D45" s="189"/>
      <c r="E45" s="35"/>
      <c r="F45" s="35"/>
      <c r="G45" s="35"/>
      <c r="H45" s="7"/>
    </row>
    <row r="46" spans="2:8" ht="12">
      <c r="B46" s="13" t="s">
        <v>31</v>
      </c>
      <c r="C46" s="189"/>
      <c r="D46" s="189"/>
      <c r="E46" s="36"/>
      <c r="F46" s="36"/>
      <c r="G46" s="36"/>
      <c r="H46" s="7"/>
    </row>
    <row r="47" spans="2:8" ht="12">
      <c r="B47" s="15" t="s">
        <v>162</v>
      </c>
      <c r="C47" s="189" t="s">
        <v>16</v>
      </c>
      <c r="D47" s="189"/>
      <c r="E47" s="35"/>
      <c r="F47" s="35"/>
      <c r="G47" s="35"/>
      <c r="H47" s="7"/>
    </row>
    <row r="48" spans="2:8" ht="12">
      <c r="B48" s="15"/>
      <c r="C48" s="189"/>
      <c r="D48" s="189"/>
      <c r="E48" s="36"/>
      <c r="F48" s="36"/>
      <c r="G48" s="36"/>
      <c r="H48" s="7"/>
    </row>
    <row r="49" spans="2:8" ht="12">
      <c r="B49" s="21" t="s">
        <v>40</v>
      </c>
      <c r="C49" s="189"/>
      <c r="D49" s="189"/>
      <c r="E49" s="36"/>
      <c r="F49" s="36"/>
      <c r="G49" s="36"/>
      <c r="H49" s="7"/>
    </row>
    <row r="50" spans="2:8" ht="12">
      <c r="B50" s="13" t="s">
        <v>97</v>
      </c>
      <c r="C50" s="189" t="s">
        <v>8</v>
      </c>
      <c r="D50" s="189"/>
      <c r="E50" s="35">
        <v>0</v>
      </c>
      <c r="F50" s="35">
        <v>0</v>
      </c>
      <c r="G50" s="35">
        <v>0</v>
      </c>
      <c r="H50" s="7"/>
    </row>
    <row r="51" spans="2:8" ht="12">
      <c r="B51" s="8"/>
      <c r="C51" s="189"/>
      <c r="D51" s="189"/>
      <c r="E51" s="36"/>
      <c r="F51" s="36"/>
      <c r="G51" s="36"/>
      <c r="H51" s="7"/>
    </row>
    <row r="52" spans="2:8" ht="15">
      <c r="B52" s="10" t="s">
        <v>214</v>
      </c>
      <c r="C52" s="189"/>
      <c r="D52" s="189"/>
      <c r="E52" s="36"/>
      <c r="F52" s="36"/>
      <c r="G52" s="36"/>
      <c r="H52" s="7"/>
    </row>
    <row r="53" spans="2:8" ht="12">
      <c r="B53" s="16" t="s">
        <v>159</v>
      </c>
      <c r="C53" s="189" t="s">
        <v>16</v>
      </c>
      <c r="D53" s="189"/>
      <c r="E53" s="35"/>
      <c r="F53" s="35"/>
      <c r="G53" s="35"/>
      <c r="H53" s="7"/>
    </row>
    <row r="54" spans="2:8" ht="12">
      <c r="B54" s="16" t="s">
        <v>160</v>
      </c>
      <c r="C54" s="189" t="s">
        <v>8</v>
      </c>
      <c r="D54" s="189"/>
      <c r="E54" s="35"/>
      <c r="F54" s="35"/>
      <c r="G54" s="35"/>
      <c r="H54" s="7"/>
    </row>
    <row r="55" spans="2:8" ht="12">
      <c r="B55" s="16" t="s">
        <v>161</v>
      </c>
      <c r="C55" s="189"/>
      <c r="D55" s="189"/>
      <c r="E55" s="36"/>
      <c r="F55" s="36"/>
      <c r="G55" s="36"/>
      <c r="H55" s="7"/>
    </row>
    <row r="56" spans="2:8" ht="12">
      <c r="B56" s="12" t="s">
        <v>4</v>
      </c>
      <c r="C56" s="192" t="s">
        <v>15</v>
      </c>
      <c r="D56" s="192"/>
      <c r="E56" s="91">
        <v>90</v>
      </c>
      <c r="F56" s="90">
        <v>90</v>
      </c>
      <c r="G56" s="39">
        <v>90</v>
      </c>
      <c r="H56" s="7"/>
    </row>
    <row r="57" spans="2:8" ht="12">
      <c r="B57" s="12" t="s">
        <v>35</v>
      </c>
      <c r="C57" s="189" t="s">
        <v>10</v>
      </c>
      <c r="D57" s="189"/>
      <c r="E57" s="35"/>
      <c r="F57" s="35"/>
      <c r="G57" s="35"/>
      <c r="H57" s="7"/>
    </row>
    <row r="58" spans="2:8" ht="12">
      <c r="B58" s="12"/>
      <c r="C58" s="189"/>
      <c r="D58" s="189"/>
      <c r="E58" s="36"/>
      <c r="F58" s="36"/>
      <c r="G58" s="36"/>
      <c r="H58" s="7"/>
    </row>
    <row r="59" spans="2:8" ht="15">
      <c r="B59" s="10" t="s">
        <v>215</v>
      </c>
      <c r="C59" s="30"/>
      <c r="D59" s="189" t="s">
        <v>169</v>
      </c>
      <c r="E59" s="36"/>
      <c r="F59" s="36"/>
      <c r="G59" s="36"/>
      <c r="H59" s="7"/>
    </row>
    <row r="60" spans="2:8" ht="12">
      <c r="B60" s="16" t="s">
        <v>101</v>
      </c>
      <c r="C60" s="30" t="s">
        <v>17</v>
      </c>
      <c r="D60" s="196">
        <v>1</v>
      </c>
      <c r="E60" s="35"/>
      <c r="F60" s="35"/>
      <c r="G60" s="35"/>
      <c r="H60" s="7" t="s">
        <v>172</v>
      </c>
    </row>
    <row r="61" spans="2:8" ht="12">
      <c r="B61" s="16" t="s">
        <v>102</v>
      </c>
      <c r="C61" s="30" t="s">
        <v>17</v>
      </c>
      <c r="D61" s="196">
        <v>1</v>
      </c>
      <c r="E61" s="35"/>
      <c r="F61" s="35"/>
      <c r="G61" s="35"/>
      <c r="H61" s="7" t="s">
        <v>173</v>
      </c>
    </row>
    <row r="62" spans="2:8" ht="12">
      <c r="B62" s="16" t="s">
        <v>183</v>
      </c>
      <c r="C62" s="30" t="s">
        <v>17</v>
      </c>
      <c r="D62" s="196">
        <v>1</v>
      </c>
      <c r="E62" s="35"/>
      <c r="F62" s="35"/>
      <c r="G62" s="35"/>
      <c r="H62" s="7" t="s">
        <v>195</v>
      </c>
    </row>
    <row r="63" spans="2:8" ht="12">
      <c r="B63" s="16" t="s">
        <v>184</v>
      </c>
      <c r="C63" s="30" t="s">
        <v>17</v>
      </c>
      <c r="D63" s="196">
        <v>0.98</v>
      </c>
      <c r="E63" s="35"/>
      <c r="F63" s="35"/>
      <c r="G63" s="35"/>
      <c r="H63" s="7" t="s">
        <v>174</v>
      </c>
    </row>
    <row r="64" spans="2:8" ht="12">
      <c r="B64" s="16" t="s">
        <v>185</v>
      </c>
      <c r="C64" s="30" t="s">
        <v>17</v>
      </c>
      <c r="D64" s="196">
        <v>0.997</v>
      </c>
      <c r="E64" s="35"/>
      <c r="F64" s="35"/>
      <c r="G64" s="35"/>
      <c r="H64" s="7"/>
    </row>
    <row r="65" spans="2:8" ht="12">
      <c r="B65" s="16" t="s">
        <v>121</v>
      </c>
      <c r="C65" s="30" t="s">
        <v>17</v>
      </c>
      <c r="D65" s="196">
        <v>1</v>
      </c>
      <c r="E65" s="35"/>
      <c r="F65" s="35"/>
      <c r="G65" s="35"/>
      <c r="H65" s="7"/>
    </row>
    <row r="66" spans="2:8" ht="12">
      <c r="B66" s="16" t="s">
        <v>103</v>
      </c>
      <c r="C66" s="30" t="s">
        <v>17</v>
      </c>
      <c r="D66" s="196">
        <v>1</v>
      </c>
      <c r="E66" s="35"/>
      <c r="F66" s="35"/>
      <c r="G66" s="35"/>
      <c r="H66" s="7"/>
    </row>
    <row r="67" spans="2:8" ht="12">
      <c r="B67" s="16" t="s">
        <v>104</v>
      </c>
      <c r="C67" s="30" t="s">
        <v>17</v>
      </c>
      <c r="D67" s="196">
        <v>1</v>
      </c>
      <c r="E67" s="35"/>
      <c r="F67" s="35"/>
      <c r="G67" s="35"/>
      <c r="H67" s="7"/>
    </row>
    <row r="68" spans="2:8" ht="12">
      <c r="B68" s="16" t="s">
        <v>186</v>
      </c>
      <c r="C68" s="30" t="s">
        <v>17</v>
      </c>
      <c r="D68" s="196">
        <v>0.4</v>
      </c>
      <c r="E68" s="35">
        <v>800000</v>
      </c>
      <c r="F68" s="35">
        <v>1520000</v>
      </c>
      <c r="G68" s="35">
        <v>952000</v>
      </c>
      <c r="H68" s="7"/>
    </row>
    <row r="69" spans="2:8" ht="12">
      <c r="B69" s="16" t="s">
        <v>105</v>
      </c>
      <c r="C69" s="30" t="s">
        <v>17</v>
      </c>
      <c r="D69" s="196">
        <v>1</v>
      </c>
      <c r="E69" s="35"/>
      <c r="F69" s="35"/>
      <c r="G69" s="35"/>
      <c r="H69" s="7"/>
    </row>
    <row r="70" spans="2:8" ht="12">
      <c r="B70" s="16" t="s">
        <v>106</v>
      </c>
      <c r="C70" s="30" t="s">
        <v>17</v>
      </c>
      <c r="D70" s="196">
        <v>1</v>
      </c>
      <c r="E70" s="35"/>
      <c r="F70" s="35"/>
      <c r="G70" s="35"/>
      <c r="H70" s="7"/>
    </row>
    <row r="71" spans="2:8" ht="12">
      <c r="B71" s="16" t="s">
        <v>34</v>
      </c>
      <c r="C71" s="30" t="s">
        <v>17</v>
      </c>
      <c r="D71" s="196">
        <v>1</v>
      </c>
      <c r="E71" s="35"/>
      <c r="F71" s="35"/>
      <c r="G71" s="35"/>
      <c r="H71" s="7"/>
    </row>
    <row r="72" spans="2:8" ht="12">
      <c r="B72" s="16" t="s">
        <v>107</v>
      </c>
      <c r="C72" s="30" t="s">
        <v>17</v>
      </c>
      <c r="D72" s="197">
        <v>1</v>
      </c>
      <c r="E72" s="35"/>
      <c r="F72" s="35"/>
      <c r="G72" s="35"/>
      <c r="H72" s="7" t="s">
        <v>188</v>
      </c>
    </row>
    <row r="73" spans="2:8" ht="12">
      <c r="B73" s="16" t="s">
        <v>108</v>
      </c>
      <c r="C73" s="30" t="s">
        <v>17</v>
      </c>
      <c r="D73" s="196">
        <v>1</v>
      </c>
      <c r="E73" s="35"/>
      <c r="F73" s="35"/>
      <c r="G73" s="35"/>
      <c r="H73" s="7"/>
    </row>
    <row r="74" spans="2:8" ht="12">
      <c r="B74" s="16" t="s">
        <v>187</v>
      </c>
      <c r="C74" s="30" t="s">
        <v>17</v>
      </c>
      <c r="D74" s="196">
        <v>0.54</v>
      </c>
      <c r="E74" s="35"/>
      <c r="F74" s="35"/>
      <c r="G74" s="35"/>
      <c r="H74" s="7"/>
    </row>
    <row r="75" spans="2:8" ht="12">
      <c r="B75" s="16" t="s">
        <v>109</v>
      </c>
      <c r="C75" s="30" t="s">
        <v>17</v>
      </c>
      <c r="D75" s="196">
        <v>1</v>
      </c>
      <c r="E75" s="35"/>
      <c r="F75" s="35"/>
      <c r="G75" s="35"/>
      <c r="H75" s="7"/>
    </row>
    <row r="76" spans="2:8" ht="12">
      <c r="B76" s="16" t="s">
        <v>110</v>
      </c>
      <c r="C76" s="30" t="s">
        <v>17</v>
      </c>
      <c r="D76" s="196">
        <v>1</v>
      </c>
      <c r="E76" s="35"/>
      <c r="F76" s="35"/>
      <c r="G76" s="35"/>
      <c r="H76" s="7"/>
    </row>
    <row r="77" spans="2:8" ht="12">
      <c r="B77" s="16" t="s">
        <v>111</v>
      </c>
      <c r="C77" s="30" t="s">
        <v>17</v>
      </c>
      <c r="D77" s="196">
        <v>1</v>
      </c>
      <c r="E77" s="35"/>
      <c r="F77" s="35"/>
      <c r="G77" s="35"/>
      <c r="H77" s="7"/>
    </row>
    <row r="78" spans="2:8" ht="12">
      <c r="B78" s="16" t="s">
        <v>112</v>
      </c>
      <c r="C78" s="30" t="s">
        <v>17</v>
      </c>
      <c r="D78" s="196">
        <v>1</v>
      </c>
      <c r="E78" s="35"/>
      <c r="F78" s="35"/>
      <c r="G78" s="35"/>
      <c r="H78" s="7"/>
    </row>
    <row r="79" spans="2:8" ht="12">
      <c r="B79" s="16" t="s">
        <v>29</v>
      </c>
      <c r="C79" s="30" t="s">
        <v>17</v>
      </c>
      <c r="D79" s="196">
        <v>1</v>
      </c>
      <c r="E79" s="35"/>
      <c r="F79" s="35"/>
      <c r="G79" s="35"/>
      <c r="H79" s="7"/>
    </row>
    <row r="80" spans="2:8" ht="12">
      <c r="B80" s="16" t="s">
        <v>189</v>
      </c>
      <c r="C80" s="30" t="s">
        <v>17</v>
      </c>
      <c r="D80" s="196">
        <v>0.38</v>
      </c>
      <c r="E80" s="35"/>
      <c r="F80" s="35"/>
      <c r="G80" s="35"/>
      <c r="H80" s="7"/>
    </row>
    <row r="81" spans="2:8" ht="12">
      <c r="B81" s="16" t="s">
        <v>113</v>
      </c>
      <c r="C81" s="30" t="s">
        <v>17</v>
      </c>
      <c r="D81" s="196">
        <v>1</v>
      </c>
      <c r="E81" s="35"/>
      <c r="F81" s="35"/>
      <c r="G81" s="35"/>
      <c r="H81" s="7"/>
    </row>
    <row r="82" spans="2:8" ht="12">
      <c r="B82" s="16" t="s">
        <v>190</v>
      </c>
      <c r="C82" s="30" t="s">
        <v>17</v>
      </c>
      <c r="D82" s="196">
        <v>0.15</v>
      </c>
      <c r="E82" s="35"/>
      <c r="F82" s="35"/>
      <c r="G82" s="35"/>
      <c r="H82" s="7"/>
    </row>
    <row r="83" spans="2:8" ht="12">
      <c r="B83" s="16" t="s">
        <v>191</v>
      </c>
      <c r="C83" s="30" t="s">
        <v>17</v>
      </c>
      <c r="D83" s="196">
        <v>0.5</v>
      </c>
      <c r="E83" s="35"/>
      <c r="F83" s="35"/>
      <c r="G83" s="35"/>
      <c r="H83" s="7"/>
    </row>
    <row r="84" spans="2:8" ht="12">
      <c r="B84" s="16" t="s">
        <v>192</v>
      </c>
      <c r="C84" s="30" t="s">
        <v>17</v>
      </c>
      <c r="D84" s="196">
        <v>0.5</v>
      </c>
      <c r="E84" s="35"/>
      <c r="F84" s="35"/>
      <c r="G84" s="35"/>
      <c r="H84" s="7"/>
    </row>
    <row r="85" spans="2:8" ht="12">
      <c r="B85" s="16" t="s">
        <v>193</v>
      </c>
      <c r="C85" s="30" t="s">
        <v>17</v>
      </c>
      <c r="D85" s="196">
        <v>0.5</v>
      </c>
      <c r="E85" s="35"/>
      <c r="F85" s="35"/>
      <c r="G85" s="35"/>
      <c r="H85" s="7"/>
    </row>
    <row r="86" spans="2:8" ht="12">
      <c r="B86" s="16" t="s">
        <v>223</v>
      </c>
      <c r="C86" s="30" t="s">
        <v>17</v>
      </c>
      <c r="D86" s="197">
        <v>1</v>
      </c>
      <c r="E86" s="35"/>
      <c r="F86" s="35"/>
      <c r="G86" s="35"/>
      <c r="H86" s="7" t="s">
        <v>188</v>
      </c>
    </row>
    <row r="87" spans="2:8" ht="12">
      <c r="B87" s="16" t="s">
        <v>224</v>
      </c>
      <c r="C87" s="30" t="s">
        <v>17</v>
      </c>
      <c r="D87" s="197">
        <v>1</v>
      </c>
      <c r="E87" s="35"/>
      <c r="F87" s="35"/>
      <c r="G87" s="35">
        <v>7665</v>
      </c>
      <c r="H87" s="7" t="s">
        <v>188</v>
      </c>
    </row>
    <row r="88" spans="2:8" ht="12">
      <c r="B88" s="16" t="s">
        <v>225</v>
      </c>
      <c r="C88" s="30" t="s">
        <v>17</v>
      </c>
      <c r="D88" s="197">
        <v>1</v>
      </c>
      <c r="E88" s="35"/>
      <c r="F88" s="35"/>
      <c r="G88" s="35"/>
      <c r="H88" s="7" t="s">
        <v>188</v>
      </c>
    </row>
    <row r="89" spans="2:8" ht="12">
      <c r="B89" s="16" t="s">
        <v>226</v>
      </c>
      <c r="C89" s="30" t="s">
        <v>17</v>
      </c>
      <c r="D89" s="197">
        <v>1</v>
      </c>
      <c r="E89" s="35">
        <v>175000</v>
      </c>
      <c r="F89" s="35">
        <v>194250</v>
      </c>
      <c r="G89" s="35">
        <v>175750</v>
      </c>
      <c r="H89" s="7" t="s">
        <v>188</v>
      </c>
    </row>
    <row r="90" spans="2:8" ht="12">
      <c r="B90" s="16" t="s">
        <v>114</v>
      </c>
      <c r="C90" s="30" t="s">
        <v>17</v>
      </c>
      <c r="D90" s="196">
        <v>1</v>
      </c>
      <c r="E90" s="35">
        <v>10000</v>
      </c>
      <c r="F90" s="35">
        <v>10000</v>
      </c>
      <c r="G90" s="35">
        <v>10000</v>
      </c>
      <c r="H90" s="7"/>
    </row>
    <row r="91" spans="2:8" ht="12">
      <c r="B91" s="16" t="s">
        <v>115</v>
      </c>
      <c r="C91" s="30" t="s">
        <v>17</v>
      </c>
      <c r="D91" s="196">
        <v>1</v>
      </c>
      <c r="E91" s="35"/>
      <c r="F91" s="35"/>
      <c r="G91" s="35"/>
      <c r="H91" s="7"/>
    </row>
    <row r="92" spans="2:8" ht="12">
      <c r="B92" s="16" t="s">
        <v>194</v>
      </c>
      <c r="C92" s="30" t="s">
        <v>17</v>
      </c>
      <c r="D92" s="196">
        <v>0.36</v>
      </c>
      <c r="E92" s="35"/>
      <c r="F92" s="35"/>
      <c r="G92" s="35"/>
      <c r="H92" s="7"/>
    </row>
    <row r="93" spans="2:8" ht="12">
      <c r="B93" s="16" t="s">
        <v>116</v>
      </c>
      <c r="C93" s="30" t="s">
        <v>17</v>
      </c>
      <c r="D93" s="196">
        <v>1</v>
      </c>
      <c r="E93" s="35"/>
      <c r="F93" s="35"/>
      <c r="G93" s="35"/>
      <c r="H93" s="7"/>
    </row>
    <row r="94" spans="2:8" ht="12">
      <c r="B94" s="16" t="s">
        <v>117</v>
      </c>
      <c r="C94" s="30" t="s">
        <v>17</v>
      </c>
      <c r="D94" s="196">
        <v>1</v>
      </c>
      <c r="E94" s="35"/>
      <c r="F94" s="35"/>
      <c r="G94" s="35"/>
      <c r="H94" s="7"/>
    </row>
    <row r="95" spans="2:8" ht="12">
      <c r="B95" s="16" t="s">
        <v>118</v>
      </c>
      <c r="C95" s="30" t="s">
        <v>17</v>
      </c>
      <c r="D95" s="196">
        <v>1</v>
      </c>
      <c r="E95" s="35"/>
      <c r="F95" s="35"/>
      <c r="G95" s="35"/>
      <c r="H95" s="7"/>
    </row>
    <row r="96" spans="2:8" ht="12">
      <c r="B96" s="16" t="s">
        <v>119</v>
      </c>
      <c r="C96" s="30" t="s">
        <v>17</v>
      </c>
      <c r="D96" s="196">
        <v>1</v>
      </c>
      <c r="E96" s="35"/>
      <c r="F96" s="35"/>
      <c r="G96" s="35"/>
      <c r="H96" s="7"/>
    </row>
    <row r="97" spans="2:8" ht="12">
      <c r="B97" s="17"/>
      <c r="C97" s="193"/>
      <c r="D97" s="189"/>
      <c r="E97" s="40"/>
      <c r="F97" s="40"/>
      <c r="G97" s="40"/>
      <c r="H97" s="7"/>
    </row>
    <row r="98" spans="2:8" ht="15">
      <c r="B98" s="19" t="s">
        <v>120</v>
      </c>
      <c r="C98" s="193"/>
      <c r="D98" s="193"/>
      <c r="E98" s="36"/>
      <c r="F98" s="36"/>
      <c r="G98" s="36"/>
      <c r="H98" s="7"/>
    </row>
    <row r="99" spans="2:8" ht="12">
      <c r="B99" s="20" t="s">
        <v>128</v>
      </c>
      <c r="C99" s="193" t="s">
        <v>12</v>
      </c>
      <c r="D99" s="193"/>
      <c r="E99" s="35">
        <v>11440</v>
      </c>
      <c r="F99" s="35">
        <v>12275</v>
      </c>
      <c r="G99" s="35">
        <v>7470</v>
      </c>
      <c r="H99" s="7"/>
    </row>
    <row r="100" spans="2:8" ht="12">
      <c r="B100" s="27" t="s">
        <v>146</v>
      </c>
      <c r="C100" s="194" t="s">
        <v>147</v>
      </c>
      <c r="D100" s="194"/>
      <c r="E100" s="41">
        <v>30</v>
      </c>
      <c r="F100" s="41">
        <v>30</v>
      </c>
      <c r="G100" s="41">
        <v>30</v>
      </c>
      <c r="H100" s="24"/>
    </row>
    <row r="115" ht="12">
      <c r="B115" s="26"/>
    </row>
  </sheetData>
  <sheetProtection password="C750" sheet="1" objects="1" scenarios="1"/>
  <printOptions/>
  <pageMargins left="0.75" right="0.75" top="1" bottom="1" header="0.5" footer="0.5"/>
  <pageSetup fitToHeight="1" fitToWidth="1" orientation="portrait" paperSize="9" scale="53"/>
  <ignoredErrors>
    <ignoredError sqref="E10:E11 E12:F12 F10:F11 G10:G12 E39:G3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102"/>
  <sheetViews>
    <sheetView workbookViewId="0" topLeftCell="A1">
      <selection activeCell="A1" sqref="A1"/>
    </sheetView>
  </sheetViews>
  <sheetFormatPr defaultColWidth="8.8515625" defaultRowHeight="12.75"/>
  <cols>
    <col min="1" max="1" width="2.421875" style="0" customWidth="1"/>
    <col min="2" max="2" width="56.00390625" style="45" customWidth="1"/>
    <col min="3" max="3" width="9.421875" style="47" customWidth="1"/>
    <col min="4" max="4" width="8.421875" style="46" customWidth="1"/>
    <col min="5" max="5" width="10.421875" style="92" hidden="1" customWidth="1"/>
    <col min="6" max="6" width="9.421875" style="98" bestFit="1" customWidth="1"/>
    <col min="7" max="7" width="5.8515625" style="98" bestFit="1" customWidth="1"/>
    <col min="8" max="8" width="16.7109375" style="99" hidden="1" customWidth="1"/>
    <col min="9" max="9" width="9.421875" style="99" bestFit="1" customWidth="1"/>
    <col min="10" max="10" width="5.8515625" style="99" bestFit="1" customWidth="1"/>
    <col min="11" max="11" width="16.7109375" style="99" hidden="1" customWidth="1"/>
    <col min="12" max="12" width="10.421875" style="99" bestFit="1" customWidth="1"/>
    <col min="13" max="13" width="5.8515625" style="0" bestFit="1" customWidth="1"/>
    <col min="14" max="14" width="0" style="0" hidden="1" customWidth="1"/>
  </cols>
  <sheetData>
    <row r="1" spans="2:11" ht="15">
      <c r="B1" s="44" t="s">
        <v>156</v>
      </c>
      <c r="K1" s="116"/>
    </row>
    <row r="2" spans="2:12" ht="12">
      <c r="B2" s="48"/>
      <c r="C2" s="171"/>
      <c r="D2" s="172"/>
      <c r="I2" s="181"/>
      <c r="K2" s="116"/>
      <c r="L2" s="181"/>
    </row>
    <row r="3" spans="2:13" ht="12">
      <c r="B3" s="49"/>
      <c r="C3" s="213"/>
      <c r="D3" s="214"/>
      <c r="F3" s="50" t="s">
        <v>132</v>
      </c>
      <c r="G3" s="51"/>
      <c r="I3" s="50" t="s">
        <v>132</v>
      </c>
      <c r="J3" s="112"/>
      <c r="K3" s="117"/>
      <c r="L3" s="50" t="s">
        <v>132</v>
      </c>
      <c r="M3" s="112"/>
    </row>
    <row r="4" spans="2:13" ht="12">
      <c r="B4" s="52" t="s">
        <v>129</v>
      </c>
      <c r="C4" s="213"/>
      <c r="D4" s="214"/>
      <c r="F4" s="53">
        <f>F16+F49+F89+F96+F100</f>
        <v>734338.549044539</v>
      </c>
      <c r="G4" s="54">
        <f>SUM(G5:G9)</f>
        <v>1.0000000000000002</v>
      </c>
      <c r="I4" s="53">
        <f>I16+I49+I89+I96+I100</f>
        <v>776795.8323778723</v>
      </c>
      <c r="J4" s="54">
        <f>SUM(J5:J9)</f>
        <v>1</v>
      </c>
      <c r="K4" s="116"/>
      <c r="L4" s="53">
        <f>L16+L49+L89+L96+L100</f>
        <v>674067.1168747362</v>
      </c>
      <c r="M4" s="54">
        <f>SUM(M5:M9)</f>
        <v>1</v>
      </c>
    </row>
    <row r="5" spans="2:13" ht="12">
      <c r="B5" s="55" t="s">
        <v>139</v>
      </c>
      <c r="C5" s="213"/>
      <c r="D5" s="214"/>
      <c r="F5" s="56">
        <f>F16</f>
        <v>298857.43679120566</v>
      </c>
      <c r="G5" s="57">
        <f>F5/F4</f>
        <v>0.4069750078898274</v>
      </c>
      <c r="I5" s="56">
        <f>I16</f>
        <v>298857.43679120566</v>
      </c>
      <c r="J5" s="57">
        <f>I5/I4</f>
        <v>0.3847309992335624</v>
      </c>
      <c r="K5" s="116"/>
      <c r="L5" s="56">
        <f>L16</f>
        <v>246625.64150873618</v>
      </c>
      <c r="M5" s="57">
        <f>L5/L4</f>
        <v>0.3658769806962225</v>
      </c>
    </row>
    <row r="6" spans="2:13" ht="12">
      <c r="B6" s="55" t="s">
        <v>216</v>
      </c>
      <c r="C6" s="213"/>
      <c r="D6" s="214"/>
      <c r="F6" s="56">
        <f>F49</f>
        <v>93740</v>
      </c>
      <c r="G6" s="220">
        <f>F6/F4</f>
        <v>0.12765229351225915</v>
      </c>
      <c r="I6" s="56">
        <f>I49</f>
        <v>127166.00000000001</v>
      </c>
      <c r="J6" s="220">
        <f>I6/I4</f>
        <v>0.1637058216580906</v>
      </c>
      <c r="K6" s="116"/>
      <c r="L6" s="56">
        <f>L49</f>
        <v>102209.70000000001</v>
      </c>
      <c r="M6" s="57">
        <f>L6/L4</f>
        <v>0.15163133973051224</v>
      </c>
    </row>
    <row r="7" spans="2:13" ht="12">
      <c r="B7" s="55" t="s">
        <v>213</v>
      </c>
      <c r="C7" s="213"/>
      <c r="D7" s="214"/>
      <c r="F7" s="56">
        <f>F89</f>
        <v>178272.97892</v>
      </c>
      <c r="G7" s="57">
        <f>F7/F4</f>
        <v>0.24276674451035446</v>
      </c>
      <c r="I7" s="56">
        <f>I89</f>
        <v>178272.97892</v>
      </c>
      <c r="J7" s="57">
        <f>I7/I4</f>
        <v>0.2294978570807768</v>
      </c>
      <c r="K7" s="116"/>
      <c r="L7" s="56">
        <f>L89</f>
        <v>178308.875366</v>
      </c>
      <c r="M7" s="57">
        <f>L7/L4</f>
        <v>0.26452688597645335</v>
      </c>
    </row>
    <row r="8" spans="2:13" ht="12">
      <c r="B8" s="55" t="s">
        <v>140</v>
      </c>
      <c r="C8" s="213"/>
      <c r="D8" s="214"/>
      <c r="F8" s="56">
        <f>F100</f>
        <v>150846</v>
      </c>
      <c r="G8" s="57">
        <f>F8/F4</f>
        <v>0.20541751511788184</v>
      </c>
      <c r="I8" s="56">
        <f>I100</f>
        <v>158956</v>
      </c>
      <c r="J8" s="57">
        <f>I8/I4</f>
        <v>0.204630346063283</v>
      </c>
      <c r="K8" s="116"/>
      <c r="L8" s="56">
        <f>L100</f>
        <v>138681</v>
      </c>
      <c r="M8" s="57">
        <f>L8/L4</f>
        <v>0.2057376728937387</v>
      </c>
    </row>
    <row r="9" spans="2:13" ht="12">
      <c r="B9" s="55" t="s">
        <v>141</v>
      </c>
      <c r="C9" s="213"/>
      <c r="D9" s="214"/>
      <c r="F9" s="56">
        <f>F96</f>
        <v>12622.133333333333</v>
      </c>
      <c r="G9" s="58">
        <f>F9/F4</f>
        <v>0.017188438969677155</v>
      </c>
      <c r="I9" s="56">
        <f>I96</f>
        <v>13543.416666666666</v>
      </c>
      <c r="J9" s="58">
        <f>I9/I4</f>
        <v>0.01743497596428719</v>
      </c>
      <c r="K9" s="116"/>
      <c r="L9" s="56">
        <f>L96</f>
        <v>8241.9</v>
      </c>
      <c r="M9" s="58">
        <f>L9/L4</f>
        <v>0.012227120703073276</v>
      </c>
    </row>
    <row r="10" spans="2:13" ht="12">
      <c r="B10" s="52"/>
      <c r="C10" s="213"/>
      <c r="D10" s="214"/>
      <c r="F10" s="53"/>
      <c r="G10" s="59"/>
      <c r="I10" s="53"/>
      <c r="J10" s="113"/>
      <c r="K10" s="117"/>
      <c r="L10" s="53"/>
      <c r="M10" s="113"/>
    </row>
    <row r="11" spans="2:13" ht="12">
      <c r="B11" s="52" t="s">
        <v>175</v>
      </c>
      <c r="C11" s="213"/>
      <c r="D11" s="214"/>
      <c r="F11" s="223">
        <f>F4/Invullblad!$E$14</f>
        <v>2.371971152312862</v>
      </c>
      <c r="G11" s="59"/>
      <c r="I11" s="223">
        <f>I4/Invullblad!$E$14</f>
        <v>2.50911150999022</v>
      </c>
      <c r="J11" s="114"/>
      <c r="K11" s="117"/>
      <c r="L11" s="223">
        <f>L4/Invullblad!$E$14</f>
        <v>2.177289695645002</v>
      </c>
      <c r="M11" s="114"/>
    </row>
    <row r="12" spans="2:13" ht="12">
      <c r="B12" s="60" t="s">
        <v>176</v>
      </c>
      <c r="C12" s="215"/>
      <c r="D12" s="216"/>
      <c r="F12" s="222">
        <f>F4/Invullblad!$E$9</f>
        <v>0.045492414139793026</v>
      </c>
      <c r="G12" s="61"/>
      <c r="I12" s="222">
        <f>I4/Invullblad!$E$9</f>
        <v>0.04812265099602728</v>
      </c>
      <c r="J12" s="115"/>
      <c r="K12" s="117"/>
      <c r="L12" s="222">
        <f>L4/Invullblad!$E$9</f>
        <v>0.04175858734201066</v>
      </c>
      <c r="M12" s="115"/>
    </row>
    <row r="14" spans="3:13" ht="24">
      <c r="C14" s="211" t="s">
        <v>220</v>
      </c>
      <c r="D14" s="217" t="s">
        <v>7</v>
      </c>
      <c r="E14" s="93" t="s">
        <v>164</v>
      </c>
      <c r="F14" s="208" t="str">
        <f>Invullblad!E6</f>
        <v>Bio-P</v>
      </c>
      <c r="G14" s="118"/>
      <c r="H14" s="93" t="s">
        <v>164</v>
      </c>
      <c r="I14" s="208" t="str">
        <f>Invullblad!F6</f>
        <v>Chem-P</v>
      </c>
      <c r="J14" s="118"/>
      <c r="K14" s="93" t="s">
        <v>164</v>
      </c>
      <c r="L14" s="208" t="str">
        <f>Invullblad!G6</f>
        <v>Preprecep</v>
      </c>
      <c r="M14" s="118"/>
    </row>
    <row r="15" spans="3:13" ht="24">
      <c r="C15" s="212" t="s">
        <v>221</v>
      </c>
      <c r="D15" s="83"/>
      <c r="E15" s="94" t="s">
        <v>165</v>
      </c>
      <c r="F15" s="209" t="s">
        <v>132</v>
      </c>
      <c r="G15" s="119"/>
      <c r="H15" s="94" t="s">
        <v>170</v>
      </c>
      <c r="I15" s="209" t="s">
        <v>132</v>
      </c>
      <c r="J15" s="119"/>
      <c r="K15" s="94" t="s">
        <v>171</v>
      </c>
      <c r="L15" s="209" t="s">
        <v>132</v>
      </c>
      <c r="M15" s="119"/>
    </row>
    <row r="16" spans="2:13" ht="15">
      <c r="B16" s="62" t="s">
        <v>136</v>
      </c>
      <c r="C16" s="64"/>
      <c r="D16" s="63"/>
      <c r="E16" s="95"/>
      <c r="F16" s="203">
        <f>F17+F22+F25+F34+F39-F42</f>
        <v>298857.43679120566</v>
      </c>
      <c r="G16" s="108"/>
      <c r="H16" s="95"/>
      <c r="I16" s="198">
        <f>I17+I22+I25+I34+I39-I42</f>
        <v>298857.43679120566</v>
      </c>
      <c r="J16" s="108"/>
      <c r="K16" s="95"/>
      <c r="L16" s="198">
        <f>L17+L22+L25+L34+L39-L42</f>
        <v>246625.64150873618</v>
      </c>
      <c r="M16" s="126"/>
    </row>
    <row r="17" spans="2:13" ht="12">
      <c r="B17" s="65" t="s">
        <v>27</v>
      </c>
      <c r="C17" s="67"/>
      <c r="D17" s="66"/>
      <c r="E17" s="96"/>
      <c r="F17" s="204">
        <f>SUM(F18:F20)</f>
        <v>206350.96620297033</v>
      </c>
      <c r="G17" s="109"/>
      <c r="H17" s="96"/>
      <c r="I17" s="199">
        <f>SUM(I18:I20)</f>
        <v>206350.96620297033</v>
      </c>
      <c r="J17" s="109"/>
      <c r="K17" s="96"/>
      <c r="L17" s="199">
        <f>SUM(L18:L20)</f>
        <v>150718.84739108913</v>
      </c>
      <c r="M17" s="127"/>
    </row>
    <row r="18" spans="2:13" ht="12">
      <c r="B18" s="68" t="s">
        <v>218</v>
      </c>
      <c r="C18" s="42">
        <f>0.0154/1.01*3.6*10</f>
        <v>0.548910891089109</v>
      </c>
      <c r="D18" s="70" t="s">
        <v>8</v>
      </c>
      <c r="E18" s="89">
        <f>Invullblad!E27</f>
        <v>3700000</v>
      </c>
      <c r="F18" s="205">
        <f>C18*E18/10</f>
        <v>203097.02970297032</v>
      </c>
      <c r="G18" s="110"/>
      <c r="H18" s="89">
        <f>Invullblad!F27</f>
        <v>3700000</v>
      </c>
      <c r="I18" s="200">
        <f>H18*C18/10</f>
        <v>203097.02970297032</v>
      </c>
      <c r="J18" s="110"/>
      <c r="K18" s="89">
        <f>Invullblad!G27</f>
        <v>2686500</v>
      </c>
      <c r="L18" s="200">
        <f>K18*C18/10</f>
        <v>147464.91089108912</v>
      </c>
      <c r="M18" s="122"/>
    </row>
    <row r="19" spans="2:13" ht="12">
      <c r="B19" s="68" t="s">
        <v>9</v>
      </c>
      <c r="C19" s="42">
        <f>0.00894*31.65*10</f>
        <v>2.82951</v>
      </c>
      <c r="D19" s="70" t="s">
        <v>10</v>
      </c>
      <c r="E19" s="89">
        <f>Invullblad!E28</f>
        <v>11500</v>
      </c>
      <c r="F19" s="205">
        <f>C19*E19/10</f>
        <v>3253.9365</v>
      </c>
      <c r="G19" s="110"/>
      <c r="H19" s="89">
        <f>Invullblad!F28</f>
        <v>11500</v>
      </c>
      <c r="I19" s="200">
        <f>H19*C19/10</f>
        <v>3253.9365</v>
      </c>
      <c r="J19" s="110"/>
      <c r="K19" s="89">
        <f>Invullblad!G28</f>
        <v>11500</v>
      </c>
      <c r="L19" s="200">
        <f>K19*C19/10</f>
        <v>3253.9365</v>
      </c>
      <c r="M19" s="122"/>
    </row>
    <row r="20" spans="2:13" ht="12">
      <c r="B20" s="68" t="s">
        <v>11</v>
      </c>
      <c r="C20" s="67">
        <f>0.00894*10*1000</f>
        <v>89.4</v>
      </c>
      <c r="D20" s="70" t="s">
        <v>16</v>
      </c>
      <c r="E20" s="89">
        <f>Invullblad!E29</f>
        <v>0</v>
      </c>
      <c r="F20" s="205">
        <f>C20*E20/10</f>
        <v>0</v>
      </c>
      <c r="G20" s="110"/>
      <c r="H20" s="89">
        <f>Invullblad!F29</f>
        <v>0</v>
      </c>
      <c r="I20" s="200">
        <f>H20*C20/10</f>
        <v>0</v>
      </c>
      <c r="J20" s="110"/>
      <c r="K20" s="89">
        <f>Invullblad!G29</f>
        <v>0</v>
      </c>
      <c r="L20" s="200">
        <f>K20*C20/10</f>
        <v>0</v>
      </c>
      <c r="M20" s="122"/>
    </row>
    <row r="21" spans="2:13" ht="12">
      <c r="B21" s="68"/>
      <c r="C21" s="71"/>
      <c r="D21" s="70"/>
      <c r="E21" s="89"/>
      <c r="F21" s="205"/>
      <c r="G21" s="110"/>
      <c r="H21" s="89"/>
      <c r="I21" s="200"/>
      <c r="J21" s="110"/>
      <c r="K21" s="89"/>
      <c r="L21" s="200"/>
      <c r="M21" s="122"/>
    </row>
    <row r="22" spans="2:13" ht="12">
      <c r="B22" s="65" t="s">
        <v>28</v>
      </c>
      <c r="C22" s="67"/>
      <c r="D22" s="70"/>
      <c r="E22" s="89"/>
      <c r="F22" s="204">
        <f>SUM(F23:F23)</f>
        <v>24500.000000000004</v>
      </c>
      <c r="G22" s="109"/>
      <c r="H22" s="89"/>
      <c r="I22" s="199">
        <f>SUM(I23:I23)</f>
        <v>24500.000000000004</v>
      </c>
      <c r="J22" s="109"/>
      <c r="K22" s="89"/>
      <c r="L22" s="199">
        <f>SUM(L23:L23)</f>
        <v>24500.000000000004</v>
      </c>
      <c r="M22" s="127"/>
    </row>
    <row r="23" spans="2:13" ht="12">
      <c r="B23" s="68" t="s">
        <v>100</v>
      </c>
      <c r="C23" s="67">
        <v>4.9</v>
      </c>
      <c r="D23" s="70" t="s">
        <v>17</v>
      </c>
      <c r="E23" s="89">
        <f>Invullblad!E31</f>
        <v>50000</v>
      </c>
      <c r="F23" s="224">
        <f>C23*E23/10</f>
        <v>24500.000000000004</v>
      </c>
      <c r="G23" s="110"/>
      <c r="H23" s="89">
        <f>Invullblad!F31</f>
        <v>50000</v>
      </c>
      <c r="I23" s="200">
        <f>H23*C23/10</f>
        <v>24500.000000000004</v>
      </c>
      <c r="J23" s="110"/>
      <c r="K23" s="89">
        <f>Invullblad!G31</f>
        <v>50000</v>
      </c>
      <c r="L23" s="200">
        <f>K23*C23/10</f>
        <v>24500.000000000004</v>
      </c>
      <c r="M23" s="122"/>
    </row>
    <row r="24" spans="2:13" ht="12">
      <c r="B24" s="68"/>
      <c r="C24" s="67"/>
      <c r="D24" s="70"/>
      <c r="E24" s="89"/>
      <c r="F24" s="205"/>
      <c r="G24" s="110"/>
      <c r="H24" s="89"/>
      <c r="I24" s="200"/>
      <c r="J24" s="110"/>
      <c r="K24" s="89"/>
      <c r="L24" s="200"/>
      <c r="M24" s="122"/>
    </row>
    <row r="25" spans="2:13" ht="12">
      <c r="B25" s="65" t="s">
        <v>135</v>
      </c>
      <c r="C25" s="67"/>
      <c r="D25" s="66"/>
      <c r="E25" s="96"/>
      <c r="F25" s="204">
        <f>SUM(F26:F32)</f>
        <v>68006.4705882353</v>
      </c>
      <c r="G25" s="109"/>
      <c r="H25" s="96"/>
      <c r="I25" s="199">
        <f>SUM(I26:I32)</f>
        <v>68006.4705882353</v>
      </c>
      <c r="J25" s="109"/>
      <c r="K25" s="96"/>
      <c r="L25" s="199">
        <f>SUM(L26:L32)</f>
        <v>71406.79411764706</v>
      </c>
      <c r="M25" s="127"/>
    </row>
    <row r="26" spans="2:13" ht="12">
      <c r="B26" s="72" t="s">
        <v>14</v>
      </c>
      <c r="C26" s="67"/>
      <c r="D26" s="66" t="s">
        <v>10</v>
      </c>
      <c r="E26" s="89">
        <f>Invullblad!E35</f>
        <v>2270000</v>
      </c>
      <c r="F26" s="205">
        <f aca="true" t="shared" si="0" ref="F26:F32">C26*E26/10</f>
        <v>0</v>
      </c>
      <c r="G26" s="110"/>
      <c r="H26" s="89">
        <f>Invullblad!F35</f>
        <v>2270000</v>
      </c>
      <c r="I26" s="200">
        <f aca="true" t="shared" si="1" ref="I26:I32">H26*C26/10</f>
        <v>0</v>
      </c>
      <c r="J26" s="110"/>
      <c r="K26" s="89">
        <f>Invullblad!G35</f>
        <v>2383500</v>
      </c>
      <c r="L26" s="200">
        <f aca="true" t="shared" si="2" ref="L26:L32">K26*C26/10</f>
        <v>0</v>
      </c>
      <c r="M26" s="122"/>
    </row>
    <row r="27" spans="2:13" ht="12">
      <c r="B27" s="72" t="s">
        <v>20</v>
      </c>
      <c r="C27" s="67"/>
      <c r="D27" s="66" t="s">
        <v>10</v>
      </c>
      <c r="E27" s="89">
        <f>Invullblad!E36</f>
        <v>92000</v>
      </c>
      <c r="F27" s="205">
        <f t="shared" si="0"/>
        <v>0</v>
      </c>
      <c r="G27" s="110"/>
      <c r="H27" s="89">
        <f>Invullblad!F36</f>
        <v>92000</v>
      </c>
      <c r="I27" s="200">
        <f t="shared" si="1"/>
        <v>0</v>
      </c>
      <c r="J27" s="110"/>
      <c r="K27" s="89">
        <f>Invullblad!G36</f>
        <v>96600</v>
      </c>
      <c r="L27" s="200">
        <f t="shared" si="2"/>
        <v>0</v>
      </c>
      <c r="M27" s="122"/>
    </row>
    <row r="28" spans="2:13" ht="12">
      <c r="B28" s="72" t="s">
        <v>24</v>
      </c>
      <c r="C28" s="67"/>
      <c r="D28" s="66" t="s">
        <v>10</v>
      </c>
      <c r="E28" s="89">
        <f>Invullblad!E37</f>
        <v>2178000</v>
      </c>
      <c r="F28" s="205">
        <f t="shared" si="0"/>
        <v>0</v>
      </c>
      <c r="G28" s="110"/>
      <c r="H28" s="89">
        <f>Invullblad!F37</f>
        <v>2178000</v>
      </c>
      <c r="I28" s="200">
        <f t="shared" si="1"/>
        <v>0</v>
      </c>
      <c r="J28" s="110"/>
      <c r="K28" s="89">
        <f>Invullblad!G37</f>
        <v>2286900</v>
      </c>
      <c r="L28" s="200">
        <f t="shared" si="2"/>
        <v>0</v>
      </c>
      <c r="M28" s="122"/>
    </row>
    <row r="29" spans="2:13" ht="12" hidden="1">
      <c r="B29" s="73" t="s">
        <v>21</v>
      </c>
      <c r="C29" s="67"/>
      <c r="D29" s="66" t="s">
        <v>10</v>
      </c>
      <c r="E29" s="89">
        <f>Invullblad!E38</f>
        <v>0</v>
      </c>
      <c r="F29" s="205">
        <f t="shared" si="0"/>
        <v>0</v>
      </c>
      <c r="G29" s="110"/>
      <c r="H29" s="89">
        <f>Invullblad!G38</f>
        <v>0</v>
      </c>
      <c r="I29" s="200">
        <f t="shared" si="1"/>
        <v>0</v>
      </c>
      <c r="J29" s="110"/>
      <c r="K29" s="89">
        <f>Invullblad!H38</f>
        <v>0</v>
      </c>
      <c r="L29" s="200">
        <f t="shared" si="2"/>
        <v>0</v>
      </c>
      <c r="M29" s="122"/>
    </row>
    <row r="30" spans="2:13" ht="12" hidden="1">
      <c r="B30" s="73" t="s">
        <v>22</v>
      </c>
      <c r="C30" s="67"/>
      <c r="D30" s="66" t="s">
        <v>10</v>
      </c>
      <c r="E30" s="89">
        <f>Invullblad!E39</f>
        <v>2178000</v>
      </c>
      <c r="F30" s="205">
        <f t="shared" si="0"/>
        <v>0</v>
      </c>
      <c r="G30" s="110"/>
      <c r="H30" s="89">
        <f>Invullblad!G39</f>
        <v>2286900</v>
      </c>
      <c r="I30" s="200">
        <f t="shared" si="1"/>
        <v>0</v>
      </c>
      <c r="J30" s="110"/>
      <c r="K30" s="89">
        <f>Invullblad!H39</f>
        <v>0</v>
      </c>
      <c r="L30" s="200">
        <f t="shared" si="2"/>
        <v>0</v>
      </c>
      <c r="M30" s="122"/>
    </row>
    <row r="31" spans="2:13" ht="12" hidden="1">
      <c r="B31" s="73" t="s">
        <v>98</v>
      </c>
      <c r="C31" s="67"/>
      <c r="D31" s="66" t="s">
        <v>10</v>
      </c>
      <c r="E31" s="89">
        <f>Invullblad!E40</f>
        <v>0</v>
      </c>
      <c r="F31" s="205">
        <f t="shared" si="0"/>
        <v>0</v>
      </c>
      <c r="G31" s="110"/>
      <c r="H31" s="89">
        <f>Invullblad!G40</f>
        <v>0</v>
      </c>
      <c r="I31" s="200">
        <f t="shared" si="1"/>
        <v>0</v>
      </c>
      <c r="J31" s="110"/>
      <c r="K31" s="89">
        <f>Invullblad!H40</f>
        <v>0</v>
      </c>
      <c r="L31" s="200">
        <f t="shared" si="2"/>
        <v>0</v>
      </c>
      <c r="M31" s="122"/>
    </row>
    <row r="32" spans="2:13" ht="12">
      <c r="B32" s="72" t="s">
        <v>23</v>
      </c>
      <c r="C32" s="42">
        <f>0.00445/1.02*3.6*10</f>
        <v>0.15705882352941178</v>
      </c>
      <c r="D32" s="66" t="s">
        <v>8</v>
      </c>
      <c r="E32" s="89">
        <f>Invullblad!E41</f>
        <v>4330000</v>
      </c>
      <c r="F32" s="205">
        <f t="shared" si="0"/>
        <v>68006.4705882353</v>
      </c>
      <c r="G32" s="110"/>
      <c r="H32" s="89">
        <f>Invullblad!F41</f>
        <v>4330000</v>
      </c>
      <c r="I32" s="200">
        <f t="shared" si="1"/>
        <v>68006.4705882353</v>
      </c>
      <c r="J32" s="110"/>
      <c r="K32" s="89">
        <f>Invullblad!G41</f>
        <v>4546500</v>
      </c>
      <c r="L32" s="200">
        <f t="shared" si="2"/>
        <v>71406.79411764706</v>
      </c>
      <c r="M32" s="122"/>
    </row>
    <row r="33" spans="2:13" ht="12">
      <c r="B33" s="72"/>
      <c r="C33" s="67"/>
      <c r="D33" s="66"/>
      <c r="E33" s="89"/>
      <c r="F33" s="205"/>
      <c r="G33" s="110"/>
      <c r="H33" s="89"/>
      <c r="I33" s="200"/>
      <c r="J33" s="110"/>
      <c r="K33" s="89"/>
      <c r="L33" s="200"/>
      <c r="M33" s="122"/>
    </row>
    <row r="34" spans="2:13" ht="12">
      <c r="B34" s="65" t="s">
        <v>142</v>
      </c>
      <c r="C34" s="67"/>
      <c r="D34" s="66"/>
      <c r="E34" s="89"/>
      <c r="F34" s="204">
        <f>SUM(F36:F37)</f>
        <v>0</v>
      </c>
      <c r="G34" s="109"/>
      <c r="H34" s="89"/>
      <c r="I34" s="199">
        <f>SUM(I36:I37)</f>
        <v>0</v>
      </c>
      <c r="J34" s="109"/>
      <c r="K34" s="89"/>
      <c r="L34" s="199">
        <f>SUM(L36:L37)</f>
        <v>0</v>
      </c>
      <c r="M34" s="127"/>
    </row>
    <row r="35" spans="2:13" ht="12">
      <c r="B35" s="72" t="s">
        <v>30</v>
      </c>
      <c r="C35" s="67"/>
      <c r="D35" s="66"/>
      <c r="E35" s="89"/>
      <c r="F35" s="205"/>
      <c r="G35" s="110"/>
      <c r="H35" s="89"/>
      <c r="I35" s="200"/>
      <c r="J35" s="110"/>
      <c r="K35" s="89"/>
      <c r="L35" s="200"/>
      <c r="M35" s="122"/>
    </row>
    <row r="36" spans="2:13" ht="12">
      <c r="B36" s="73" t="str">
        <f>Invullblad!B44</f>
        <v>Wind</v>
      </c>
      <c r="C36" s="210">
        <f>0.00038*3.6</f>
        <v>0.001368</v>
      </c>
      <c r="D36" s="66" t="s">
        <v>8</v>
      </c>
      <c r="E36" s="89">
        <f>Invullblad!E44</f>
        <v>0</v>
      </c>
      <c r="F36" s="205">
        <f>C36*E36/10</f>
        <v>0</v>
      </c>
      <c r="G36" s="110"/>
      <c r="H36" s="89">
        <f>Invullblad!F44</f>
        <v>0</v>
      </c>
      <c r="I36" s="200">
        <f>H36*C36/10</f>
        <v>0</v>
      </c>
      <c r="J36" s="110"/>
      <c r="K36" s="89">
        <f>Invullblad!G44</f>
        <v>0</v>
      </c>
      <c r="L36" s="200">
        <f>K36*C36/10</f>
        <v>0</v>
      </c>
      <c r="M36" s="122"/>
    </row>
    <row r="37" spans="2:13" ht="12">
      <c r="B37" s="73" t="s">
        <v>217</v>
      </c>
      <c r="C37" s="210">
        <f>0.0015*3.6</f>
        <v>0.0054</v>
      </c>
      <c r="D37" s="66" t="s">
        <v>8</v>
      </c>
      <c r="E37" s="89">
        <f>Invullblad!E45</f>
        <v>0</v>
      </c>
      <c r="F37" s="205">
        <f>C37*E37/10</f>
        <v>0</v>
      </c>
      <c r="G37" s="110"/>
      <c r="H37" s="89">
        <f>Invullblad!F45</f>
        <v>0</v>
      </c>
      <c r="I37" s="200">
        <f>H37*C37/10</f>
        <v>0</v>
      </c>
      <c r="J37" s="110"/>
      <c r="K37" s="89">
        <f>Invullblad!G45</f>
        <v>0</v>
      </c>
      <c r="L37" s="200">
        <f>K37*C37/10</f>
        <v>0</v>
      </c>
      <c r="M37" s="122"/>
    </row>
    <row r="38" spans="2:13" ht="12">
      <c r="B38" s="73"/>
      <c r="C38" s="67"/>
      <c r="D38" s="66"/>
      <c r="E38" s="89"/>
      <c r="F38" s="205"/>
      <c r="G38" s="110"/>
      <c r="H38" s="89"/>
      <c r="I38" s="200"/>
      <c r="J38" s="110"/>
      <c r="K38" s="89"/>
      <c r="L38" s="200"/>
      <c r="M38" s="122"/>
    </row>
    <row r="39" spans="2:13" ht="12">
      <c r="B39" s="74" t="s">
        <v>40</v>
      </c>
      <c r="C39" s="67"/>
      <c r="D39" s="66"/>
      <c r="E39" s="89"/>
      <c r="F39" s="204">
        <f>F40</f>
        <v>0</v>
      </c>
      <c r="G39" s="109"/>
      <c r="H39" s="89"/>
      <c r="I39" s="199">
        <f>I40</f>
        <v>0</v>
      </c>
      <c r="J39" s="109"/>
      <c r="K39" s="89"/>
      <c r="L39" s="199">
        <f>L40</f>
        <v>0</v>
      </c>
      <c r="M39" s="127"/>
    </row>
    <row r="40" spans="2:13" ht="12">
      <c r="B40" s="72" t="s">
        <v>97</v>
      </c>
      <c r="C40" s="42">
        <f>0.0206*3.6*10</f>
        <v>0.7416</v>
      </c>
      <c r="D40" s="66" t="s">
        <v>8</v>
      </c>
      <c r="E40" s="89">
        <f>Invullblad!E50</f>
        <v>0</v>
      </c>
      <c r="F40" s="205">
        <f>C40*E40/10</f>
        <v>0</v>
      </c>
      <c r="G40" s="110"/>
      <c r="H40" s="89">
        <f>Invullblad!F50</f>
        <v>0</v>
      </c>
      <c r="I40" s="200">
        <f>H40*C40/10</f>
        <v>0</v>
      </c>
      <c r="J40" s="110"/>
      <c r="K40" s="89">
        <f>Invullblad!G50</f>
        <v>0</v>
      </c>
      <c r="L40" s="200">
        <f>K40*C40/10</f>
        <v>0</v>
      </c>
      <c r="M40" s="122"/>
    </row>
    <row r="41" spans="2:13" ht="12">
      <c r="B41" s="75"/>
      <c r="C41" s="67"/>
      <c r="D41" s="66"/>
      <c r="E41" s="89"/>
      <c r="F41" s="205"/>
      <c r="G41" s="110"/>
      <c r="H41" s="89"/>
      <c r="I41" s="200"/>
      <c r="J41" s="110"/>
      <c r="K41" s="89"/>
      <c r="L41" s="200"/>
      <c r="M41" s="122"/>
    </row>
    <row r="42" spans="2:13" ht="12">
      <c r="B42" s="74" t="s">
        <v>32</v>
      </c>
      <c r="C42" s="67"/>
      <c r="D42" s="66"/>
      <c r="E42" s="89"/>
      <c r="F42" s="204">
        <f>SUM(F43:F47)</f>
        <v>0</v>
      </c>
      <c r="G42" s="109"/>
      <c r="H42" s="89"/>
      <c r="I42" s="199">
        <f>SUM(I43:I47)</f>
        <v>0</v>
      </c>
      <c r="J42" s="109"/>
      <c r="K42" s="89"/>
      <c r="L42" s="199">
        <f>SUM(L43:L47)</f>
        <v>0</v>
      </c>
      <c r="M42" s="127"/>
    </row>
    <row r="43" spans="2:13" ht="12">
      <c r="B43" s="76" t="s">
        <v>5</v>
      </c>
      <c r="C43" s="67">
        <f>C20</f>
        <v>89.4</v>
      </c>
      <c r="D43" s="66" t="s">
        <v>16</v>
      </c>
      <c r="E43" s="89">
        <f>Invullblad!E53</f>
        <v>0</v>
      </c>
      <c r="F43" s="205">
        <f>C43*E43/10</f>
        <v>0</v>
      </c>
      <c r="G43" s="110"/>
      <c r="H43" s="89">
        <f>Invullblad!F53</f>
        <v>0</v>
      </c>
      <c r="I43" s="200">
        <f>H43*C43/10</f>
        <v>0</v>
      </c>
      <c r="J43" s="110"/>
      <c r="K43" s="89">
        <f>Invullblad!G53</f>
        <v>0</v>
      </c>
      <c r="L43" s="200">
        <f>K43*C43/10</f>
        <v>0</v>
      </c>
      <c r="M43" s="122"/>
    </row>
    <row r="44" spans="2:13" ht="12">
      <c r="B44" s="76" t="s">
        <v>6</v>
      </c>
      <c r="C44" s="42">
        <f>C18</f>
        <v>0.548910891089109</v>
      </c>
      <c r="D44" s="66" t="s">
        <v>8</v>
      </c>
      <c r="E44" s="89">
        <f>Invullblad!E54</f>
        <v>0</v>
      </c>
      <c r="F44" s="205">
        <f>C44*E44/10</f>
        <v>0</v>
      </c>
      <c r="G44" s="110"/>
      <c r="H44" s="89">
        <f>Invullblad!F54</f>
        <v>0</v>
      </c>
      <c r="I44" s="200">
        <f>H44*C44/10</f>
        <v>0</v>
      </c>
      <c r="J44" s="110"/>
      <c r="K44" s="89">
        <f>Invullblad!G54</f>
        <v>0</v>
      </c>
      <c r="L44" s="200">
        <f>K44*C44/10</f>
        <v>0</v>
      </c>
      <c r="M44" s="122"/>
    </row>
    <row r="45" spans="2:13" ht="12">
      <c r="B45" s="76" t="s">
        <v>33</v>
      </c>
      <c r="C45" s="67"/>
      <c r="D45" s="66"/>
      <c r="E45" s="89"/>
      <c r="F45" s="205"/>
      <c r="G45" s="110"/>
      <c r="H45" s="89"/>
      <c r="I45" s="200"/>
      <c r="J45" s="110"/>
      <c r="K45" s="89"/>
      <c r="L45" s="200"/>
      <c r="M45" s="122"/>
    </row>
    <row r="46" spans="2:13" ht="12">
      <c r="B46" s="68" t="s">
        <v>4</v>
      </c>
      <c r="C46" s="67"/>
      <c r="D46" s="77" t="s">
        <v>15</v>
      </c>
      <c r="E46" s="89">
        <f>Invullblad!E56</f>
        <v>90</v>
      </c>
      <c r="F46" s="205"/>
      <c r="G46" s="110"/>
      <c r="H46" s="89">
        <f>Invullblad!F56</f>
        <v>90</v>
      </c>
      <c r="I46" s="200"/>
      <c r="J46" s="110"/>
      <c r="K46" s="89">
        <f>Invullblad!G56</f>
        <v>90</v>
      </c>
      <c r="L46" s="200"/>
      <c r="M46" s="122"/>
    </row>
    <row r="47" spans="2:13" ht="12">
      <c r="B47" s="68" t="s">
        <v>35</v>
      </c>
      <c r="C47" s="67">
        <f>C19*(E46/100)</f>
        <v>2.5465590000000002</v>
      </c>
      <c r="D47" s="66" t="s">
        <v>10</v>
      </c>
      <c r="E47" s="89">
        <f>Invullblad!E57</f>
        <v>0</v>
      </c>
      <c r="F47" s="205">
        <f>C47*E47/10</f>
        <v>0</v>
      </c>
      <c r="G47" s="110"/>
      <c r="H47" s="89">
        <f>Invullblad!F57</f>
        <v>0</v>
      </c>
      <c r="I47" s="200">
        <f>H47*C47/10</f>
        <v>0</v>
      </c>
      <c r="J47" s="110"/>
      <c r="K47" s="89">
        <f>Invullblad!G57</f>
        <v>0</v>
      </c>
      <c r="L47" s="200">
        <f>K47*C47/10</f>
        <v>0</v>
      </c>
      <c r="M47" s="122"/>
    </row>
    <row r="48" spans="2:13" ht="12">
      <c r="B48" s="75"/>
      <c r="C48" s="67"/>
      <c r="D48" s="66"/>
      <c r="E48" s="89"/>
      <c r="F48" s="205"/>
      <c r="G48" s="110"/>
      <c r="H48" s="89"/>
      <c r="I48" s="200"/>
      <c r="J48" s="110"/>
      <c r="K48" s="89"/>
      <c r="L48" s="200"/>
      <c r="M48" s="122"/>
    </row>
    <row r="49" spans="2:13" ht="15">
      <c r="B49" s="78" t="s">
        <v>215</v>
      </c>
      <c r="C49" s="67"/>
      <c r="D49" s="66"/>
      <c r="E49" s="89"/>
      <c r="F49" s="206">
        <f>SUM(F50:F86)</f>
        <v>93740</v>
      </c>
      <c r="G49" s="111"/>
      <c r="H49" s="89"/>
      <c r="I49" s="201">
        <f>SUM(I50:I86)</f>
        <v>127166.00000000001</v>
      </c>
      <c r="J49" s="111"/>
      <c r="K49" s="89"/>
      <c r="L49" s="201">
        <f>SUM(L50:L86)</f>
        <v>102209.70000000001</v>
      </c>
      <c r="M49" s="128"/>
    </row>
    <row r="50" spans="2:14" ht="12">
      <c r="B50" s="72" t="str">
        <f>Invullblad!B60</f>
        <v>Aluminiumchloride, hydraatvorm</v>
      </c>
      <c r="C50" s="67">
        <f>N50*Invullblad!D60</f>
        <v>1</v>
      </c>
      <c r="D50" s="66" t="s">
        <v>17</v>
      </c>
      <c r="E50" s="89">
        <f>Invullblad!E60</f>
        <v>0</v>
      </c>
      <c r="F50" s="205">
        <f aca="true" t="shared" si="3" ref="F50:F86">C50*E50/10</f>
        <v>0</v>
      </c>
      <c r="G50" s="110"/>
      <c r="H50" s="89">
        <f>Invullblad!F60</f>
        <v>0</v>
      </c>
      <c r="I50" s="200">
        <f aca="true" t="shared" si="4" ref="I50:I86">H50*C50/10</f>
        <v>0</v>
      </c>
      <c r="J50" s="110"/>
      <c r="K50" s="89">
        <f>Invullblad!G60</f>
        <v>0</v>
      </c>
      <c r="L50" s="200">
        <f aca="true" t="shared" si="5" ref="L50:L86">K50*C50/10</f>
        <v>0</v>
      </c>
      <c r="M50" s="122"/>
      <c r="N50" s="120">
        <v>1</v>
      </c>
    </row>
    <row r="51" spans="2:14" ht="12">
      <c r="B51" s="72" t="str">
        <f>Invullblad!B61</f>
        <v>Aluminiumsulfaat, poedervorm</v>
      </c>
      <c r="C51" s="67">
        <f>N51*Invullblad!D61</f>
        <v>0.61</v>
      </c>
      <c r="D51" s="66" t="s">
        <v>17</v>
      </c>
      <c r="E51" s="89">
        <f>Invullblad!E61</f>
        <v>0</v>
      </c>
      <c r="F51" s="205">
        <f t="shared" si="3"/>
        <v>0</v>
      </c>
      <c r="G51" s="110"/>
      <c r="H51" s="89">
        <f>Invullblad!F61</f>
        <v>0</v>
      </c>
      <c r="I51" s="200">
        <f t="shared" si="4"/>
        <v>0</v>
      </c>
      <c r="J51" s="110"/>
      <c r="K51" s="89">
        <f>Invullblad!G61</f>
        <v>0</v>
      </c>
      <c r="L51" s="200">
        <f t="shared" si="5"/>
        <v>0</v>
      </c>
      <c r="M51" s="122"/>
      <c r="N51" s="120">
        <v>0.61</v>
      </c>
    </row>
    <row r="52" spans="2:14" ht="12">
      <c r="B52" s="72" t="str">
        <f>Invullblad!B62</f>
        <v>Antiscalants (polycarboxylaten)</v>
      </c>
      <c r="C52" s="67">
        <f>N52*Invullblad!D62</f>
        <v>1.7</v>
      </c>
      <c r="D52" s="66" t="s">
        <v>17</v>
      </c>
      <c r="E52" s="89">
        <f>Invullblad!E62</f>
        <v>0</v>
      </c>
      <c r="F52" s="205">
        <f t="shared" si="3"/>
        <v>0</v>
      </c>
      <c r="G52" s="110"/>
      <c r="H52" s="89">
        <f>Invullblad!F62</f>
        <v>0</v>
      </c>
      <c r="I52" s="200">
        <f t="shared" si="4"/>
        <v>0</v>
      </c>
      <c r="J52" s="110"/>
      <c r="K52" s="89">
        <f>Invullblad!G62</f>
        <v>0</v>
      </c>
      <c r="L52" s="200">
        <f t="shared" si="5"/>
        <v>0</v>
      </c>
      <c r="M52" s="122"/>
      <c r="N52" s="120">
        <v>1.7</v>
      </c>
    </row>
    <row r="53" spans="2:14" ht="12">
      <c r="B53" s="72" t="str">
        <f>Invullblad!B63</f>
        <v>Azijnzuur</v>
      </c>
      <c r="C53" s="67">
        <f>N53*Invullblad!D63</f>
        <v>2.7439999999999998</v>
      </c>
      <c r="D53" s="66" t="s">
        <v>17</v>
      </c>
      <c r="E53" s="89">
        <f>Invullblad!E63</f>
        <v>0</v>
      </c>
      <c r="F53" s="205">
        <f t="shared" si="3"/>
        <v>0</v>
      </c>
      <c r="G53" s="110"/>
      <c r="H53" s="89">
        <f>Invullblad!F63</f>
        <v>0</v>
      </c>
      <c r="I53" s="200">
        <f t="shared" si="4"/>
        <v>0</v>
      </c>
      <c r="J53" s="110"/>
      <c r="K53" s="89">
        <f>Invullblad!G63</f>
        <v>0</v>
      </c>
      <c r="L53" s="200">
        <f t="shared" si="5"/>
        <v>0</v>
      </c>
      <c r="M53" s="122"/>
      <c r="N53" s="120">
        <v>2.8</v>
      </c>
    </row>
    <row r="54" spans="2:14" ht="12">
      <c r="B54" s="72" t="str">
        <f>Invullblad!B64</f>
        <v>Bio-ethanol</v>
      </c>
      <c r="C54" s="67">
        <f>N54*Invullblad!D64</f>
        <v>6.380800000000001</v>
      </c>
      <c r="D54" s="66" t="s">
        <v>17</v>
      </c>
      <c r="E54" s="89">
        <f>Invullblad!E64</f>
        <v>0</v>
      </c>
      <c r="F54" s="205">
        <f t="shared" si="3"/>
        <v>0</v>
      </c>
      <c r="G54" s="110"/>
      <c r="H54" s="89">
        <f>Invullblad!F64</f>
        <v>0</v>
      </c>
      <c r="I54" s="200">
        <f t="shared" si="4"/>
        <v>0</v>
      </c>
      <c r="J54" s="110"/>
      <c r="K54" s="89">
        <f>Invullblad!G64</f>
        <v>0</v>
      </c>
      <c r="L54" s="200">
        <f t="shared" si="5"/>
        <v>0</v>
      </c>
      <c r="M54" s="122"/>
      <c r="N54" s="120">
        <v>6.4</v>
      </c>
    </row>
    <row r="55" spans="2:14" ht="12">
      <c r="B55" s="72" t="str">
        <f>Invullblad!B65</f>
        <v>Calciumoxide (ongebluste kalk; poeder) </v>
      </c>
      <c r="C55" s="67">
        <f>N55*Invullblad!D65</f>
        <v>0.62</v>
      </c>
      <c r="D55" s="66" t="s">
        <v>17</v>
      </c>
      <c r="E55" s="89">
        <f>Invullblad!E65</f>
        <v>0</v>
      </c>
      <c r="F55" s="205">
        <f t="shared" si="3"/>
        <v>0</v>
      </c>
      <c r="G55" s="110"/>
      <c r="H55" s="89">
        <f>Invullblad!F65</f>
        <v>0</v>
      </c>
      <c r="I55" s="200">
        <f t="shared" si="4"/>
        <v>0</v>
      </c>
      <c r="J55" s="110"/>
      <c r="K55" s="89">
        <f>Invullblad!G65</f>
        <v>0</v>
      </c>
      <c r="L55" s="200">
        <f t="shared" si="5"/>
        <v>0</v>
      </c>
      <c r="M55" s="122"/>
      <c r="N55" s="120">
        <v>0.62</v>
      </c>
    </row>
    <row r="56" spans="2:14" ht="12">
      <c r="B56" s="72" t="str">
        <f>Invullblad!B66</f>
        <v>Glycerine uit epichloorhydrine</v>
      </c>
      <c r="C56" s="67">
        <f>N56*Invullblad!D66</f>
        <v>5.9</v>
      </c>
      <c r="D56" s="66" t="s">
        <v>17</v>
      </c>
      <c r="E56" s="89">
        <f>Invullblad!E66</f>
        <v>0</v>
      </c>
      <c r="F56" s="205">
        <f t="shared" si="3"/>
        <v>0</v>
      </c>
      <c r="G56" s="110"/>
      <c r="H56" s="89">
        <f>Invullblad!F66</f>
        <v>0</v>
      </c>
      <c r="I56" s="200">
        <f t="shared" si="4"/>
        <v>0</v>
      </c>
      <c r="J56" s="110"/>
      <c r="K56" s="89">
        <f>Invullblad!G66</f>
        <v>0</v>
      </c>
      <c r="L56" s="200">
        <f t="shared" si="5"/>
        <v>0</v>
      </c>
      <c r="M56" s="122"/>
      <c r="N56" s="120">
        <v>5.9</v>
      </c>
    </row>
    <row r="57" spans="2:14" ht="12">
      <c r="B57" s="72" t="str">
        <f>Invullblad!B67</f>
        <v>Glycerine uit koolzaadolie</v>
      </c>
      <c r="C57" s="67">
        <f>N57*Invullblad!D67</f>
        <v>7.7</v>
      </c>
      <c r="D57" s="66" t="s">
        <v>17</v>
      </c>
      <c r="E57" s="89">
        <f>Invullblad!E67</f>
        <v>0</v>
      </c>
      <c r="F57" s="205">
        <f t="shared" si="3"/>
        <v>0</v>
      </c>
      <c r="G57" s="110"/>
      <c r="H57" s="89">
        <f>Invullblad!F67</f>
        <v>0</v>
      </c>
      <c r="I57" s="200">
        <f t="shared" si="4"/>
        <v>0</v>
      </c>
      <c r="J57" s="110"/>
      <c r="K57" s="89">
        <f>Invullblad!G67</f>
        <v>0</v>
      </c>
      <c r="L57" s="200">
        <f t="shared" si="5"/>
        <v>0</v>
      </c>
      <c r="M57" s="122"/>
      <c r="N57" s="120">
        <v>7.7</v>
      </c>
    </row>
    <row r="58" spans="2:14" ht="12">
      <c r="B58" s="72" t="str">
        <f>Invullblad!B68</f>
        <v>IJzer(III)chloride</v>
      </c>
      <c r="C58" s="67">
        <f>N58*Invullblad!D68</f>
        <v>0.36800000000000005</v>
      </c>
      <c r="D58" s="66" t="s">
        <v>17</v>
      </c>
      <c r="E58" s="89">
        <f>Invullblad!E68</f>
        <v>800000</v>
      </c>
      <c r="F58" s="205">
        <f t="shared" si="3"/>
        <v>29440.000000000007</v>
      </c>
      <c r="G58" s="110"/>
      <c r="H58" s="89">
        <f>Invullblad!F68</f>
        <v>1520000</v>
      </c>
      <c r="I58" s="200">
        <f t="shared" si="4"/>
        <v>55936.000000000015</v>
      </c>
      <c r="J58" s="110"/>
      <c r="K58" s="89">
        <f>Invullblad!G68</f>
        <v>952000</v>
      </c>
      <c r="L58" s="200">
        <f t="shared" si="5"/>
        <v>35033.600000000006</v>
      </c>
      <c r="M58" s="122"/>
      <c r="N58" s="120">
        <v>0.92</v>
      </c>
    </row>
    <row r="59" spans="2:14" ht="12">
      <c r="B59" s="72" t="str">
        <f>Invullblad!B69</f>
        <v>IJzerchloridesulfaat</v>
      </c>
      <c r="C59" s="67">
        <f>N59*Invullblad!D69</f>
        <v>0.67</v>
      </c>
      <c r="D59" s="66" t="s">
        <v>17</v>
      </c>
      <c r="E59" s="89">
        <f>Invullblad!E69</f>
        <v>0</v>
      </c>
      <c r="F59" s="205">
        <f t="shared" si="3"/>
        <v>0</v>
      </c>
      <c r="G59" s="110"/>
      <c r="H59" s="89">
        <f>Invullblad!F69</f>
        <v>0</v>
      </c>
      <c r="I59" s="200">
        <f t="shared" si="4"/>
        <v>0</v>
      </c>
      <c r="J59" s="110"/>
      <c r="K59" s="89">
        <f>Invullblad!G69</f>
        <v>0</v>
      </c>
      <c r="L59" s="200">
        <f t="shared" si="5"/>
        <v>0</v>
      </c>
      <c r="M59" s="122"/>
      <c r="N59" s="120">
        <v>0.67</v>
      </c>
    </row>
    <row r="60" spans="2:14" ht="12">
      <c r="B60" s="72" t="str">
        <f>Invullblad!B70</f>
        <v>IJzersulfaat</v>
      </c>
      <c r="C60" s="67">
        <f>N60*Invullblad!D70</f>
        <v>0.19</v>
      </c>
      <c r="D60" s="66" t="s">
        <v>17</v>
      </c>
      <c r="E60" s="89">
        <f>Invullblad!E70</f>
        <v>0</v>
      </c>
      <c r="F60" s="205">
        <f t="shared" si="3"/>
        <v>0</v>
      </c>
      <c r="G60" s="110"/>
      <c r="H60" s="89">
        <f>Invullblad!F70</f>
        <v>0</v>
      </c>
      <c r="I60" s="200">
        <f t="shared" si="4"/>
        <v>0</v>
      </c>
      <c r="J60" s="110"/>
      <c r="K60" s="89">
        <f>Invullblad!G70</f>
        <v>0</v>
      </c>
      <c r="L60" s="200">
        <f t="shared" si="5"/>
        <v>0</v>
      </c>
      <c r="M60" s="122"/>
      <c r="N60" s="120">
        <v>0.19</v>
      </c>
    </row>
    <row r="61" spans="2:14" ht="12">
      <c r="B61" s="72" t="str">
        <f>Invullblad!B71</f>
        <v>Kalkhydraat</v>
      </c>
      <c r="C61" s="67">
        <f>N61*Invullblad!D71</f>
        <v>0.47</v>
      </c>
      <c r="D61" s="66" t="s">
        <v>17</v>
      </c>
      <c r="E61" s="89">
        <f>Invullblad!E71</f>
        <v>0</v>
      </c>
      <c r="F61" s="205">
        <f t="shared" si="3"/>
        <v>0</v>
      </c>
      <c r="G61" s="110"/>
      <c r="H61" s="89">
        <f>Invullblad!F71</f>
        <v>0</v>
      </c>
      <c r="I61" s="200">
        <f t="shared" si="4"/>
        <v>0</v>
      </c>
      <c r="J61" s="110"/>
      <c r="K61" s="89">
        <f>Invullblad!G71</f>
        <v>0</v>
      </c>
      <c r="L61" s="200">
        <f t="shared" si="5"/>
        <v>0</v>
      </c>
      <c r="M61" s="122"/>
      <c r="N61" s="120">
        <v>0.47</v>
      </c>
    </row>
    <row r="62" spans="2:14" ht="12">
      <c r="B62" s="72" t="str">
        <f>Invullblad!B72</f>
        <v>Kalkmelk op basis van gebluste kalk</v>
      </c>
      <c r="C62" s="67">
        <f>N62*Invullblad!D72</f>
        <v>0.31</v>
      </c>
      <c r="D62" s="66" t="s">
        <v>17</v>
      </c>
      <c r="E62" s="89">
        <f>Invullblad!E72</f>
        <v>0</v>
      </c>
      <c r="F62" s="205">
        <f t="shared" si="3"/>
        <v>0</v>
      </c>
      <c r="G62" s="110"/>
      <c r="H62" s="89">
        <f>Invullblad!F72</f>
        <v>0</v>
      </c>
      <c r="I62" s="200">
        <f t="shared" si="4"/>
        <v>0</v>
      </c>
      <c r="J62" s="110"/>
      <c r="K62" s="89">
        <f>Invullblad!G72</f>
        <v>0</v>
      </c>
      <c r="L62" s="200">
        <f t="shared" si="5"/>
        <v>0</v>
      </c>
      <c r="M62" s="122"/>
      <c r="N62" s="120">
        <v>0.31</v>
      </c>
    </row>
    <row r="63" spans="2:14" ht="12">
      <c r="B63" s="72" t="str">
        <f>Invullblad!B73</f>
        <v>Koolstofdioxide, vloeibaar</v>
      </c>
      <c r="C63" s="67">
        <f>N63*Invullblad!D73</f>
        <v>0.75</v>
      </c>
      <c r="D63" s="66" t="s">
        <v>17</v>
      </c>
      <c r="E63" s="89">
        <f>Invullblad!E73</f>
        <v>0</v>
      </c>
      <c r="F63" s="205">
        <f t="shared" si="3"/>
        <v>0</v>
      </c>
      <c r="G63" s="110"/>
      <c r="H63" s="89">
        <f>Invullblad!F73</f>
        <v>0</v>
      </c>
      <c r="I63" s="200">
        <f t="shared" si="4"/>
        <v>0</v>
      </c>
      <c r="J63" s="110"/>
      <c r="K63" s="89">
        <f>Invullblad!G73</f>
        <v>0</v>
      </c>
      <c r="L63" s="200">
        <f t="shared" si="5"/>
        <v>0</v>
      </c>
      <c r="M63" s="122"/>
      <c r="N63" s="120">
        <v>0.75</v>
      </c>
    </row>
    <row r="64" spans="2:14" ht="12">
      <c r="B64" s="72" t="str">
        <f>Invullblad!B74</f>
        <v>Magnesiumchloride</v>
      </c>
      <c r="C64" s="67">
        <f>N64*Invullblad!D74</f>
        <v>0.07560000000000001</v>
      </c>
      <c r="D64" s="66" t="s">
        <v>17</v>
      </c>
      <c r="E64" s="89">
        <f>Invullblad!E74</f>
        <v>0</v>
      </c>
      <c r="F64" s="205">
        <f t="shared" si="3"/>
        <v>0</v>
      </c>
      <c r="G64" s="110"/>
      <c r="H64" s="89">
        <f>Invullblad!F74</f>
        <v>0</v>
      </c>
      <c r="I64" s="200">
        <f t="shared" si="4"/>
        <v>0</v>
      </c>
      <c r="J64" s="110"/>
      <c r="K64" s="89">
        <f>Invullblad!G74</f>
        <v>0</v>
      </c>
      <c r="L64" s="200">
        <f t="shared" si="5"/>
        <v>0</v>
      </c>
      <c r="M64" s="122"/>
      <c r="N64" s="120">
        <v>0.14</v>
      </c>
    </row>
    <row r="65" spans="2:14" ht="12">
      <c r="B65" s="72" t="str">
        <f>Invullblad!B75</f>
        <v>Magnesiumchloride, anhydride</v>
      </c>
      <c r="C65" s="67">
        <f>N65*Invullblad!D75</f>
        <v>1.5</v>
      </c>
      <c r="D65" s="66" t="s">
        <v>17</v>
      </c>
      <c r="E65" s="89">
        <f>Invullblad!E75</f>
        <v>0</v>
      </c>
      <c r="F65" s="205">
        <f t="shared" si="3"/>
        <v>0</v>
      </c>
      <c r="G65" s="110"/>
      <c r="H65" s="89">
        <f>Invullblad!F75</f>
        <v>0</v>
      </c>
      <c r="I65" s="200">
        <f t="shared" si="4"/>
        <v>0</v>
      </c>
      <c r="J65" s="110"/>
      <c r="K65" s="89">
        <f>Invullblad!G75</f>
        <v>0</v>
      </c>
      <c r="L65" s="200">
        <f t="shared" si="5"/>
        <v>0</v>
      </c>
      <c r="M65" s="122"/>
      <c r="N65" s="120">
        <v>1.5</v>
      </c>
    </row>
    <row r="66" spans="2:14" ht="12">
      <c r="B66" s="72" t="str">
        <f>Invullblad!B76</f>
        <v>Magnesiumchloride, hydraat, vaste vorm</v>
      </c>
      <c r="C66" s="67">
        <f>N66*Invullblad!D76</f>
        <v>0.2</v>
      </c>
      <c r="D66" s="66" t="s">
        <v>17</v>
      </c>
      <c r="E66" s="89">
        <f>Invullblad!E76</f>
        <v>0</v>
      </c>
      <c r="F66" s="205">
        <f t="shared" si="3"/>
        <v>0</v>
      </c>
      <c r="G66" s="110"/>
      <c r="H66" s="89">
        <f>Invullblad!F76</f>
        <v>0</v>
      </c>
      <c r="I66" s="200">
        <f t="shared" si="4"/>
        <v>0</v>
      </c>
      <c r="J66" s="110"/>
      <c r="K66" s="89">
        <f>Invullblad!G76</f>
        <v>0</v>
      </c>
      <c r="L66" s="200">
        <f t="shared" si="5"/>
        <v>0</v>
      </c>
      <c r="M66" s="122"/>
      <c r="N66" s="120">
        <v>0.2</v>
      </c>
    </row>
    <row r="67" spans="2:14" ht="12">
      <c r="B67" s="72" t="str">
        <f>Invullblad!B77</f>
        <v>Magnesiumoxide</v>
      </c>
      <c r="C67" s="67">
        <f>N67*Invullblad!D77</f>
        <v>0.67</v>
      </c>
      <c r="D67" s="66" t="s">
        <v>17</v>
      </c>
      <c r="E67" s="89">
        <f>Invullblad!E77</f>
        <v>0</v>
      </c>
      <c r="F67" s="205">
        <f t="shared" si="3"/>
        <v>0</v>
      </c>
      <c r="G67" s="110"/>
      <c r="H67" s="89">
        <f>Invullblad!F77</f>
        <v>0</v>
      </c>
      <c r="I67" s="200">
        <f t="shared" si="4"/>
        <v>0</v>
      </c>
      <c r="J67" s="110"/>
      <c r="K67" s="89">
        <f>Invullblad!G77</f>
        <v>0</v>
      </c>
      <c r="L67" s="200">
        <f t="shared" si="5"/>
        <v>0</v>
      </c>
      <c r="M67" s="122"/>
      <c r="N67" s="120">
        <v>0.67</v>
      </c>
    </row>
    <row r="68" spans="2:14" ht="12">
      <c r="B68" s="72" t="str">
        <f>Invullblad!B78</f>
        <v>Melasse uit suikerbieten</v>
      </c>
      <c r="C68" s="67">
        <f>N68*Invullblad!D78</f>
        <v>0.18</v>
      </c>
      <c r="D68" s="66" t="s">
        <v>17</v>
      </c>
      <c r="E68" s="89">
        <f>Invullblad!E78</f>
        <v>0</v>
      </c>
      <c r="F68" s="205">
        <f t="shared" si="3"/>
        <v>0</v>
      </c>
      <c r="G68" s="110"/>
      <c r="H68" s="89">
        <f>Invullblad!F78</f>
        <v>0</v>
      </c>
      <c r="I68" s="200">
        <f t="shared" si="4"/>
        <v>0</v>
      </c>
      <c r="J68" s="110"/>
      <c r="K68" s="89">
        <f>Invullblad!G78</f>
        <v>0</v>
      </c>
      <c r="L68" s="200">
        <f t="shared" si="5"/>
        <v>0</v>
      </c>
      <c r="M68" s="122"/>
      <c r="N68" s="120">
        <v>0.18</v>
      </c>
    </row>
    <row r="69" spans="2:14" ht="12">
      <c r="B69" s="72" t="str">
        <f>Invullblad!B79</f>
        <v>Methanol</v>
      </c>
      <c r="C69" s="67">
        <f>N69*Invullblad!D79</f>
        <v>1.9</v>
      </c>
      <c r="D69" s="66" t="s">
        <v>17</v>
      </c>
      <c r="E69" s="89">
        <f>Invullblad!E79</f>
        <v>0</v>
      </c>
      <c r="F69" s="205">
        <f t="shared" si="3"/>
        <v>0</v>
      </c>
      <c r="G69" s="110"/>
      <c r="H69" s="89">
        <f>Invullblad!F79</f>
        <v>0</v>
      </c>
      <c r="I69" s="200">
        <f t="shared" si="4"/>
        <v>0</v>
      </c>
      <c r="J69" s="110"/>
      <c r="K69" s="89">
        <f>Invullblad!G79</f>
        <v>0</v>
      </c>
      <c r="L69" s="200">
        <f t="shared" si="5"/>
        <v>0</v>
      </c>
      <c r="M69" s="122"/>
      <c r="N69" s="120">
        <v>1.9</v>
      </c>
    </row>
    <row r="70" spans="2:14" ht="12">
      <c r="B70" s="72" t="str">
        <f>Invullblad!B80</f>
        <v>Natriumaluminaat oplossing </v>
      </c>
      <c r="C70" s="67">
        <f>N70*Invullblad!D80</f>
        <v>0.49400000000000005</v>
      </c>
      <c r="D70" s="66" t="s">
        <v>17</v>
      </c>
      <c r="E70" s="89">
        <f>Invullblad!E80</f>
        <v>0</v>
      </c>
      <c r="F70" s="205">
        <f t="shared" si="3"/>
        <v>0</v>
      </c>
      <c r="G70" s="110"/>
      <c r="H70" s="89">
        <f>Invullblad!F80</f>
        <v>0</v>
      </c>
      <c r="I70" s="200">
        <f t="shared" si="4"/>
        <v>0</v>
      </c>
      <c r="J70" s="110"/>
      <c r="K70" s="89">
        <f>Invullblad!G80</f>
        <v>0</v>
      </c>
      <c r="L70" s="200">
        <f t="shared" si="5"/>
        <v>0</v>
      </c>
      <c r="M70" s="122"/>
      <c r="N70" s="120">
        <v>1.3</v>
      </c>
    </row>
    <row r="71" spans="2:14" ht="12">
      <c r="B71" s="72" t="str">
        <f>Invullblad!B81</f>
        <v>Natriumchloride (zout), poedervorm</v>
      </c>
      <c r="C71" s="67">
        <f>N71*Invullblad!D81</f>
        <v>0.2</v>
      </c>
      <c r="D71" s="66" t="s">
        <v>17</v>
      </c>
      <c r="E71" s="89">
        <f>Invullblad!E81</f>
        <v>0</v>
      </c>
      <c r="F71" s="205">
        <f t="shared" si="3"/>
        <v>0</v>
      </c>
      <c r="G71" s="110"/>
      <c r="H71" s="89">
        <f>Invullblad!F81</f>
        <v>0</v>
      </c>
      <c r="I71" s="200">
        <f t="shared" si="4"/>
        <v>0</v>
      </c>
      <c r="J71" s="110"/>
      <c r="K71" s="89">
        <f>Invullblad!G81</f>
        <v>0</v>
      </c>
      <c r="L71" s="200">
        <f t="shared" si="5"/>
        <v>0</v>
      </c>
      <c r="M71" s="122"/>
      <c r="N71" s="120">
        <v>0.2</v>
      </c>
    </row>
    <row r="72" spans="2:14" ht="12">
      <c r="B72" s="72" t="str">
        <f>Invullblad!B82</f>
        <v>Natriumhypochloriet</v>
      </c>
      <c r="C72" s="67">
        <f>N72*Invullblad!D82</f>
        <v>0.15</v>
      </c>
      <c r="D72" s="66" t="s">
        <v>17</v>
      </c>
      <c r="E72" s="89">
        <f>Invullblad!E82</f>
        <v>0</v>
      </c>
      <c r="F72" s="205">
        <f t="shared" si="3"/>
        <v>0</v>
      </c>
      <c r="G72" s="110"/>
      <c r="H72" s="89">
        <f>Invullblad!F82</f>
        <v>0</v>
      </c>
      <c r="I72" s="200">
        <f t="shared" si="4"/>
        <v>0</v>
      </c>
      <c r="J72" s="110"/>
      <c r="K72" s="89">
        <f>Invullblad!G82</f>
        <v>0</v>
      </c>
      <c r="L72" s="200">
        <f t="shared" si="5"/>
        <v>0</v>
      </c>
      <c r="M72" s="122"/>
      <c r="N72" s="120">
        <v>1</v>
      </c>
    </row>
    <row r="73" spans="2:14" ht="12">
      <c r="B73" s="72" t="str">
        <f>Invullblad!B83</f>
        <v>Natronloog kwikcelproces</v>
      </c>
      <c r="C73" s="67">
        <f>N73*Invullblad!D83</f>
        <v>0.6</v>
      </c>
      <c r="D73" s="66" t="s">
        <v>17</v>
      </c>
      <c r="E73" s="89">
        <f>Invullblad!E83</f>
        <v>0</v>
      </c>
      <c r="F73" s="205">
        <f t="shared" si="3"/>
        <v>0</v>
      </c>
      <c r="G73" s="110"/>
      <c r="H73" s="89">
        <f>Invullblad!F83</f>
        <v>0</v>
      </c>
      <c r="I73" s="200">
        <f t="shared" si="4"/>
        <v>0</v>
      </c>
      <c r="J73" s="110"/>
      <c r="K73" s="89">
        <f>Invullblad!G83</f>
        <v>0</v>
      </c>
      <c r="L73" s="200">
        <f t="shared" si="5"/>
        <v>0</v>
      </c>
      <c r="M73" s="122"/>
      <c r="N73" s="120">
        <v>1.2</v>
      </c>
    </row>
    <row r="74" spans="2:14" ht="12">
      <c r="B74" s="72" t="str">
        <f>Invullblad!B84</f>
        <v>Natronloog, membraanproces</v>
      </c>
      <c r="C74" s="67">
        <f>N74*Invullblad!D84</f>
        <v>0.55</v>
      </c>
      <c r="D74" s="66" t="s">
        <v>17</v>
      </c>
      <c r="E74" s="89">
        <f>Invullblad!E84</f>
        <v>0</v>
      </c>
      <c r="F74" s="205">
        <f t="shared" si="3"/>
        <v>0</v>
      </c>
      <c r="G74" s="110"/>
      <c r="H74" s="89">
        <f>Invullblad!F84</f>
        <v>0</v>
      </c>
      <c r="I74" s="200">
        <f t="shared" si="4"/>
        <v>0</v>
      </c>
      <c r="J74" s="110"/>
      <c r="K74" s="89">
        <f>Invullblad!G84</f>
        <v>0</v>
      </c>
      <c r="L74" s="200">
        <f t="shared" si="5"/>
        <v>0</v>
      </c>
      <c r="M74" s="122"/>
      <c r="N74" s="120">
        <v>1.1</v>
      </c>
    </row>
    <row r="75" spans="2:14" ht="12">
      <c r="B75" s="72" t="str">
        <f>Invullblad!B85</f>
        <v>Natronloog, productiemix</v>
      </c>
      <c r="C75" s="67">
        <f>N75*Invullblad!D85</f>
        <v>0.6</v>
      </c>
      <c r="D75" s="66" t="s">
        <v>17</v>
      </c>
      <c r="E75" s="89">
        <f>Invullblad!E85</f>
        <v>0</v>
      </c>
      <c r="F75" s="205">
        <f t="shared" si="3"/>
        <v>0</v>
      </c>
      <c r="G75" s="110"/>
      <c r="H75" s="89">
        <f>Invullblad!F85</f>
        <v>0</v>
      </c>
      <c r="I75" s="200">
        <f t="shared" si="4"/>
        <v>0</v>
      </c>
      <c r="J75" s="110"/>
      <c r="K75" s="89">
        <f>Invullblad!G85</f>
        <v>0</v>
      </c>
      <c r="L75" s="200">
        <f t="shared" si="5"/>
        <v>0</v>
      </c>
      <c r="M75" s="122"/>
      <c r="N75" s="120">
        <v>1.2</v>
      </c>
    </row>
    <row r="76" spans="2:14" ht="12">
      <c r="B76" s="72" t="str">
        <f>Invullblad!B86</f>
        <v>Polymeer, anionisch</v>
      </c>
      <c r="C76" s="67">
        <f>N76*Invullblad!D86</f>
        <v>4.4</v>
      </c>
      <c r="D76" s="66" t="s">
        <v>17</v>
      </c>
      <c r="E76" s="89">
        <f>Invullblad!E86</f>
        <v>0</v>
      </c>
      <c r="F76" s="205">
        <f t="shared" si="3"/>
        <v>0</v>
      </c>
      <c r="G76" s="110"/>
      <c r="H76" s="89">
        <f>Invullblad!F86</f>
        <v>0</v>
      </c>
      <c r="I76" s="200">
        <f t="shared" si="4"/>
        <v>0</v>
      </c>
      <c r="J76" s="110"/>
      <c r="K76" s="89">
        <f>Invullblad!G86</f>
        <v>0</v>
      </c>
      <c r="L76" s="200">
        <f t="shared" si="5"/>
        <v>0</v>
      </c>
      <c r="M76" s="122"/>
      <c r="N76" s="120">
        <v>4.4</v>
      </c>
    </row>
    <row r="77" spans="2:14" ht="12">
      <c r="B77" s="72" t="str">
        <f>Invullblad!B87</f>
        <v>Polymeer, anionisch, vloeibaar</v>
      </c>
      <c r="C77" s="67">
        <f>N77*Invullblad!D87</f>
        <v>3.4</v>
      </c>
      <c r="D77" s="66" t="s">
        <v>17</v>
      </c>
      <c r="E77" s="89">
        <f>Invullblad!E87</f>
        <v>0</v>
      </c>
      <c r="F77" s="205">
        <f t="shared" si="3"/>
        <v>0</v>
      </c>
      <c r="G77" s="110"/>
      <c r="H77" s="89">
        <f>Invullblad!F87</f>
        <v>0</v>
      </c>
      <c r="I77" s="200">
        <f t="shared" si="4"/>
        <v>0</v>
      </c>
      <c r="J77" s="110"/>
      <c r="K77" s="89">
        <f>Invullblad!G87</f>
        <v>7665</v>
      </c>
      <c r="L77" s="200">
        <f t="shared" si="5"/>
        <v>2606.1</v>
      </c>
      <c r="M77" s="122"/>
      <c r="N77" s="120">
        <v>3.4</v>
      </c>
    </row>
    <row r="78" spans="2:14" ht="12">
      <c r="B78" s="72" t="str">
        <f>Invullblad!B88</f>
        <v>Polymeer, kationisch, poeder </v>
      </c>
      <c r="C78" s="67">
        <f>N78*Invullblad!D88</f>
        <v>4.9</v>
      </c>
      <c r="D78" s="66" t="s">
        <v>17</v>
      </c>
      <c r="E78" s="89">
        <f>Invullblad!E88</f>
        <v>0</v>
      </c>
      <c r="F78" s="205">
        <f t="shared" si="3"/>
        <v>0</v>
      </c>
      <c r="G78" s="110"/>
      <c r="H78" s="89">
        <f>Invullblad!F88</f>
        <v>0</v>
      </c>
      <c r="I78" s="200">
        <f t="shared" si="4"/>
        <v>0</v>
      </c>
      <c r="J78" s="110"/>
      <c r="K78" s="89">
        <f>Invullblad!G88</f>
        <v>0</v>
      </c>
      <c r="L78" s="200">
        <f t="shared" si="5"/>
        <v>0</v>
      </c>
      <c r="M78" s="122"/>
      <c r="N78" s="120">
        <v>4.9</v>
      </c>
    </row>
    <row r="79" spans="2:14" ht="12">
      <c r="B79" s="72" t="str">
        <f>Invullblad!B89</f>
        <v>Polymeer, kationisch, vloeibaar</v>
      </c>
      <c r="C79" s="67">
        <f>N79*Invullblad!D89</f>
        <v>3.6</v>
      </c>
      <c r="D79" s="66" t="s">
        <v>17</v>
      </c>
      <c r="E79" s="89">
        <f>Invullblad!E89</f>
        <v>175000</v>
      </c>
      <c r="F79" s="205">
        <f t="shared" si="3"/>
        <v>63000</v>
      </c>
      <c r="G79" s="110"/>
      <c r="H79" s="89">
        <f>Invullblad!F89</f>
        <v>194250</v>
      </c>
      <c r="I79" s="200">
        <f t="shared" si="4"/>
        <v>69930</v>
      </c>
      <c r="J79" s="110"/>
      <c r="K79" s="89">
        <f>Invullblad!G89</f>
        <v>175750</v>
      </c>
      <c r="L79" s="200">
        <f t="shared" si="5"/>
        <v>63270</v>
      </c>
      <c r="M79" s="122"/>
      <c r="N79" s="120">
        <v>3.6</v>
      </c>
    </row>
    <row r="80" spans="2:14" ht="12">
      <c r="B80" s="72" t="str">
        <f>Invullblad!B90</f>
        <v>Polyaluminiumchloride</v>
      </c>
      <c r="C80" s="67">
        <f>N80*Invullblad!D90</f>
        <v>1.3</v>
      </c>
      <c r="D80" s="66" t="s">
        <v>17</v>
      </c>
      <c r="E80" s="89">
        <f>Invullblad!E90</f>
        <v>10000</v>
      </c>
      <c r="F80" s="205">
        <f t="shared" si="3"/>
        <v>1300</v>
      </c>
      <c r="G80" s="110"/>
      <c r="H80" s="89">
        <f>Invullblad!F90</f>
        <v>10000</v>
      </c>
      <c r="I80" s="200">
        <f t="shared" si="4"/>
        <v>1300</v>
      </c>
      <c r="J80" s="110"/>
      <c r="K80" s="89">
        <f>Invullblad!G90</f>
        <v>10000</v>
      </c>
      <c r="L80" s="200">
        <f t="shared" si="5"/>
        <v>1300</v>
      </c>
      <c r="M80" s="122"/>
      <c r="N80" s="120">
        <v>1.3</v>
      </c>
    </row>
    <row r="81" spans="2:14" ht="12">
      <c r="B81" s="72" t="str">
        <f>Invullblad!B91</f>
        <v>Polyaluminiumsulfaat, poeder</v>
      </c>
      <c r="C81" s="67">
        <f>N81*Invullblad!D91</f>
        <v>1.1</v>
      </c>
      <c r="D81" s="66" t="s">
        <v>17</v>
      </c>
      <c r="E81" s="89">
        <f>Invullblad!E91</f>
        <v>0</v>
      </c>
      <c r="F81" s="205">
        <f t="shared" si="3"/>
        <v>0</v>
      </c>
      <c r="G81" s="110"/>
      <c r="H81" s="89">
        <f>Invullblad!F91</f>
        <v>0</v>
      </c>
      <c r="I81" s="200">
        <f t="shared" si="4"/>
        <v>0</v>
      </c>
      <c r="J81" s="110"/>
      <c r="K81" s="89">
        <f>Invullblad!G91</f>
        <v>0</v>
      </c>
      <c r="L81" s="200">
        <f t="shared" si="5"/>
        <v>0</v>
      </c>
      <c r="M81" s="122"/>
      <c r="N81" s="120">
        <v>1.1</v>
      </c>
    </row>
    <row r="82" spans="2:14" ht="12">
      <c r="B82" s="72" t="str">
        <f>Invullblad!B92</f>
        <v>Zoutzuur, reactie propyleen en chloor</v>
      </c>
      <c r="C82" s="67">
        <f>N82*Invullblad!D92</f>
        <v>0.1296</v>
      </c>
      <c r="D82" s="66" t="s">
        <v>17</v>
      </c>
      <c r="E82" s="89">
        <f>Invullblad!E92</f>
        <v>0</v>
      </c>
      <c r="F82" s="205">
        <f t="shared" si="3"/>
        <v>0</v>
      </c>
      <c r="G82" s="110"/>
      <c r="H82" s="89">
        <f>Invullblad!F92</f>
        <v>0</v>
      </c>
      <c r="I82" s="200">
        <f t="shared" si="4"/>
        <v>0</v>
      </c>
      <c r="J82" s="110"/>
      <c r="K82" s="89">
        <f>Invullblad!G92</f>
        <v>0</v>
      </c>
      <c r="L82" s="200">
        <f t="shared" si="5"/>
        <v>0</v>
      </c>
      <c r="M82" s="122"/>
      <c r="N82" s="121">
        <f>0.36</f>
        <v>0.36</v>
      </c>
    </row>
    <row r="83" spans="2:14" ht="12">
      <c r="B83" s="72" t="str">
        <f>Invullblad!B93</f>
        <v>Zoutzuur uit de reactie van waterstof en chloor</v>
      </c>
      <c r="C83" s="67">
        <f>N83*Invullblad!D93</f>
        <v>1.5</v>
      </c>
      <c r="D83" s="66" t="s">
        <v>17</v>
      </c>
      <c r="E83" s="89">
        <f>Invullblad!E93</f>
        <v>0</v>
      </c>
      <c r="F83" s="205">
        <f t="shared" si="3"/>
        <v>0</v>
      </c>
      <c r="G83" s="110"/>
      <c r="H83" s="89">
        <f>Invullblad!F93</f>
        <v>0</v>
      </c>
      <c r="I83" s="200">
        <f t="shared" si="4"/>
        <v>0</v>
      </c>
      <c r="J83" s="110"/>
      <c r="K83" s="89">
        <f>Invullblad!G93</f>
        <v>0</v>
      </c>
      <c r="L83" s="200">
        <f t="shared" si="5"/>
        <v>0</v>
      </c>
      <c r="M83" s="122"/>
      <c r="N83" s="120">
        <v>1.5</v>
      </c>
    </row>
    <row r="84" spans="2:14" ht="12">
      <c r="B84" s="72" t="str">
        <f>Invullblad!B94</f>
        <v>Zoutzuur uit het Mannheim proces</v>
      </c>
      <c r="C84" s="67">
        <f>N84*Invullblad!D94</f>
        <v>0.45</v>
      </c>
      <c r="D84" s="66" t="s">
        <v>17</v>
      </c>
      <c r="E84" s="89">
        <f>Invullblad!E94</f>
        <v>0</v>
      </c>
      <c r="F84" s="205">
        <f t="shared" si="3"/>
        <v>0</v>
      </c>
      <c r="G84" s="110"/>
      <c r="H84" s="89">
        <f>Invullblad!F94</f>
        <v>0</v>
      </c>
      <c r="I84" s="200">
        <f t="shared" si="4"/>
        <v>0</v>
      </c>
      <c r="J84" s="110"/>
      <c r="K84" s="89">
        <f>Invullblad!G94</f>
        <v>0</v>
      </c>
      <c r="L84" s="200">
        <f t="shared" si="5"/>
        <v>0</v>
      </c>
      <c r="M84" s="122"/>
      <c r="N84" s="120">
        <v>0.45</v>
      </c>
    </row>
    <row r="85" spans="2:14" ht="12">
      <c r="B85" s="72" t="str">
        <f>Invullblad!B95</f>
        <v>Zuurstof (vloeibaar)</v>
      </c>
      <c r="C85" s="67">
        <f>N85*Invullblad!D95</f>
        <v>0.43</v>
      </c>
      <c r="D85" s="66" t="s">
        <v>17</v>
      </c>
      <c r="E85" s="89">
        <f>Invullblad!E95</f>
        <v>0</v>
      </c>
      <c r="F85" s="205">
        <f t="shared" si="3"/>
        <v>0</v>
      </c>
      <c r="G85" s="110"/>
      <c r="H85" s="89">
        <f>Invullblad!F95</f>
        <v>0</v>
      </c>
      <c r="I85" s="200">
        <f t="shared" si="4"/>
        <v>0</v>
      </c>
      <c r="J85" s="110"/>
      <c r="K85" s="89">
        <f>Invullblad!G95</f>
        <v>0</v>
      </c>
      <c r="L85" s="200">
        <f t="shared" si="5"/>
        <v>0</v>
      </c>
      <c r="M85" s="122"/>
      <c r="N85" s="120">
        <v>0.43</v>
      </c>
    </row>
    <row r="86" spans="2:14" ht="12">
      <c r="B86" s="72" t="str">
        <f>Invullblad!B96</f>
        <v>Zwavelzuur, vloeibaar</v>
      </c>
      <c r="C86" s="67">
        <f>N86*Invullblad!D96</f>
        <v>0.25</v>
      </c>
      <c r="D86" s="66" t="s">
        <v>17</v>
      </c>
      <c r="E86" s="89">
        <f>Invullblad!E96</f>
        <v>0</v>
      </c>
      <c r="F86" s="205">
        <f t="shared" si="3"/>
        <v>0</v>
      </c>
      <c r="G86" s="110"/>
      <c r="H86" s="89">
        <f>Invullblad!F96</f>
        <v>0</v>
      </c>
      <c r="I86" s="200">
        <f t="shared" si="4"/>
        <v>0</v>
      </c>
      <c r="J86" s="110"/>
      <c r="K86" s="89">
        <f>Invullblad!G96</f>
        <v>0</v>
      </c>
      <c r="L86" s="200">
        <f t="shared" si="5"/>
        <v>0</v>
      </c>
      <c r="M86" s="122"/>
      <c r="N86" s="120">
        <v>0.25</v>
      </c>
    </row>
    <row r="87" spans="2:13" ht="12">
      <c r="B87" s="72"/>
      <c r="C87" s="67"/>
      <c r="D87" s="66"/>
      <c r="E87" s="89"/>
      <c r="F87" s="205"/>
      <c r="G87" s="110"/>
      <c r="H87" s="89"/>
      <c r="I87" s="200"/>
      <c r="J87" s="110"/>
      <c r="K87" s="89"/>
      <c r="L87" s="200"/>
      <c r="M87" s="122"/>
    </row>
    <row r="88" spans="2:13" ht="12">
      <c r="B88" s="72"/>
      <c r="C88" s="67"/>
      <c r="D88" s="66"/>
      <c r="E88" s="89"/>
      <c r="F88" s="205"/>
      <c r="G88" s="110"/>
      <c r="H88" s="89"/>
      <c r="I88" s="200"/>
      <c r="J88" s="110"/>
      <c r="K88" s="89"/>
      <c r="L88" s="200"/>
      <c r="M88" s="122"/>
    </row>
    <row r="89" spans="2:13" ht="15">
      <c r="B89" s="78" t="s">
        <v>179</v>
      </c>
      <c r="C89" s="67"/>
      <c r="D89" s="66"/>
      <c r="E89" s="89"/>
      <c r="F89" s="206">
        <f>SUM(F90:F94)</f>
        <v>178272.97892</v>
      </c>
      <c r="G89" s="111"/>
      <c r="H89" s="89"/>
      <c r="I89" s="201">
        <f>SUM(I90:I94)</f>
        <v>178272.97892</v>
      </c>
      <c r="J89" s="111"/>
      <c r="K89" s="89"/>
      <c r="L89" s="201">
        <f>SUM(L90:L94)</f>
        <v>178308.875366</v>
      </c>
      <c r="M89" s="128"/>
    </row>
    <row r="90" spans="2:13" ht="12">
      <c r="B90" s="72" t="s">
        <v>122</v>
      </c>
      <c r="C90" s="221">
        <v>0.083</v>
      </c>
      <c r="D90" s="66" t="s">
        <v>180</v>
      </c>
      <c r="E90" s="89"/>
      <c r="F90" s="205">
        <f>C90*Invullblad!E10/10</f>
        <v>98458.75</v>
      </c>
      <c r="G90" s="110"/>
      <c r="H90" s="89"/>
      <c r="I90" s="200">
        <f>C90*Invullblad!F10/10</f>
        <v>98458.75</v>
      </c>
      <c r="J90" s="110"/>
      <c r="K90" s="89"/>
      <c r="L90" s="200">
        <f>C90*Invullblad!G10/10</f>
        <v>98458.75</v>
      </c>
      <c r="M90" s="122"/>
    </row>
    <row r="91" spans="2:13" ht="12">
      <c r="B91" s="72" t="s">
        <v>131</v>
      </c>
      <c r="C91" s="42">
        <v>0.487</v>
      </c>
      <c r="D91" s="66" t="s">
        <v>16</v>
      </c>
      <c r="E91" s="89"/>
      <c r="F91" s="205">
        <f>C91*'Energie in GJp'!F28/10</f>
        <v>104.39331999999999</v>
      </c>
      <c r="G91" s="110"/>
      <c r="H91" s="89"/>
      <c r="I91" s="200">
        <f>C91*'Energie in GJp'!I28/10</f>
        <v>104.39331999999999</v>
      </c>
      <c r="J91" s="110"/>
      <c r="K91" s="89"/>
      <c r="L91" s="200">
        <f>C91*'Energie in GJp'!L28/10</f>
        <v>109.612986</v>
      </c>
      <c r="M91" s="122"/>
    </row>
    <row r="92" spans="2:13" ht="12">
      <c r="B92" s="72" t="s">
        <v>123</v>
      </c>
      <c r="C92" s="42">
        <f>0.05*11.6</f>
        <v>0.58</v>
      </c>
      <c r="D92" s="66" t="s">
        <v>181</v>
      </c>
      <c r="E92" s="89"/>
      <c r="F92" s="205">
        <f>C92*Invullblad!E11/10</f>
        <v>64568.5</v>
      </c>
      <c r="G92" s="110"/>
      <c r="H92" s="89"/>
      <c r="I92" s="200">
        <f>C92*Invullblad!F11/10</f>
        <v>64568.5</v>
      </c>
      <c r="J92" s="110"/>
      <c r="K92" s="89"/>
      <c r="L92" s="200">
        <f>C92*Invullblad!G11/10</f>
        <v>64568.5</v>
      </c>
      <c r="M92" s="122"/>
    </row>
    <row r="93" spans="2:13" ht="12">
      <c r="B93" s="72" t="s">
        <v>124</v>
      </c>
      <c r="C93" s="42">
        <f>0.5*1.8</f>
        <v>0.9</v>
      </c>
      <c r="D93" s="66" t="s">
        <v>182</v>
      </c>
      <c r="E93" s="89"/>
      <c r="F93" s="205">
        <f>C93*Invullblad!E12/10</f>
        <v>14527.8</v>
      </c>
      <c r="G93" s="110"/>
      <c r="H93" s="89"/>
      <c r="I93" s="200">
        <f>C93*Invullblad!F12/10</f>
        <v>14527.8</v>
      </c>
      <c r="J93" s="110"/>
      <c r="K93" s="89"/>
      <c r="L93" s="200">
        <f>C93*Invullblad!G12/10</f>
        <v>14527.8</v>
      </c>
      <c r="M93" s="122"/>
    </row>
    <row r="94" spans="2:13" ht="12">
      <c r="B94" s="72" t="s">
        <v>130</v>
      </c>
      <c r="C94" s="42">
        <v>0.116</v>
      </c>
      <c r="D94" s="66" t="s">
        <v>16</v>
      </c>
      <c r="E94" s="89"/>
      <c r="F94" s="205">
        <f>C94*'Energie in GJp'!F27/10</f>
        <v>613.5356</v>
      </c>
      <c r="G94" s="110"/>
      <c r="H94" s="89"/>
      <c r="I94" s="200">
        <f>C94*'Energie in GJp'!I27/10</f>
        <v>613.5356</v>
      </c>
      <c r="J94" s="110"/>
      <c r="K94" s="89"/>
      <c r="L94" s="200">
        <f>C94*'Energie in GJp'!L27/10</f>
        <v>644.21238</v>
      </c>
      <c r="M94" s="122"/>
    </row>
    <row r="95" spans="2:13" ht="12">
      <c r="B95" s="72"/>
      <c r="C95" s="67"/>
      <c r="D95" s="66"/>
      <c r="E95" s="89"/>
      <c r="F95" s="205"/>
      <c r="G95" s="110"/>
      <c r="H95" s="89"/>
      <c r="I95" s="200"/>
      <c r="J95" s="110"/>
      <c r="K95" s="89"/>
      <c r="L95" s="200"/>
      <c r="M95" s="122"/>
    </row>
    <row r="96" spans="2:13" ht="15">
      <c r="B96" s="78" t="str">
        <f>Invullblad!B98</f>
        <v>Materialen</v>
      </c>
      <c r="C96" s="67"/>
      <c r="D96" s="66"/>
      <c r="E96" s="89"/>
      <c r="F96" s="206">
        <f>SUM(F97:F97)</f>
        <v>12622.133333333333</v>
      </c>
      <c r="G96" s="111"/>
      <c r="H96" s="89"/>
      <c r="I96" s="201">
        <f>SUM(I97:I97)</f>
        <v>13543.416666666666</v>
      </c>
      <c r="J96" s="111"/>
      <c r="K96" s="89"/>
      <c r="L96" s="201">
        <f>SUM(L97:L97)</f>
        <v>8241.9</v>
      </c>
      <c r="M96" s="128"/>
    </row>
    <row r="97" spans="2:13" ht="12">
      <c r="B97" s="72" t="str">
        <f>Invullblad!B99</f>
        <v>Gewapend beton</v>
      </c>
      <c r="C97" s="71">
        <v>331</v>
      </c>
      <c r="D97" s="66" t="s">
        <v>12</v>
      </c>
      <c r="E97" s="89">
        <f>Invullblad!E99</f>
        <v>11440</v>
      </c>
      <c r="F97" s="205">
        <f>(C97*E97/Invullblad!E100)/10</f>
        <v>12622.133333333333</v>
      </c>
      <c r="G97" s="110"/>
      <c r="H97" s="89">
        <f>Invullblad!F99</f>
        <v>12275</v>
      </c>
      <c r="I97" s="200">
        <f>(C97*H97/Invullblad!F100)/10</f>
        <v>13543.416666666666</v>
      </c>
      <c r="J97" s="110"/>
      <c r="K97" s="89">
        <f>Invullblad!G99</f>
        <v>7470</v>
      </c>
      <c r="L97" s="200">
        <f>(C97*K97/Invullblad!G100)/10</f>
        <v>8241.9</v>
      </c>
      <c r="M97" s="122"/>
    </row>
    <row r="98" spans="2:13" ht="12">
      <c r="B98" s="72"/>
      <c r="C98" s="67"/>
      <c r="D98" s="66"/>
      <c r="E98" s="89"/>
      <c r="F98" s="205"/>
      <c r="G98" s="110"/>
      <c r="H98" s="89"/>
      <c r="I98" s="200"/>
      <c r="J98" s="110"/>
      <c r="K98" s="89"/>
      <c r="L98" s="200"/>
      <c r="M98" s="122"/>
    </row>
    <row r="99" spans="2:13" ht="15">
      <c r="B99" s="78" t="s">
        <v>133</v>
      </c>
      <c r="C99" s="79"/>
      <c r="D99" s="69"/>
      <c r="E99" s="97"/>
      <c r="F99" s="206">
        <f>SUM(F100:F103)</f>
        <v>188606</v>
      </c>
      <c r="G99" s="111"/>
      <c r="H99" s="89"/>
      <c r="I99" s="201">
        <f>SUM(I100:I103)</f>
        <v>198316</v>
      </c>
      <c r="J99" s="111"/>
      <c r="K99" s="89"/>
      <c r="L99" s="201">
        <f>SUM(L100:L103)</f>
        <v>174041</v>
      </c>
      <c r="M99" s="128"/>
    </row>
    <row r="100" spans="2:13" ht="12">
      <c r="B100" s="102" t="s">
        <v>145</v>
      </c>
      <c r="C100" s="219">
        <f>0.0811</f>
        <v>0.0811</v>
      </c>
      <c r="D100" s="104" t="s">
        <v>17</v>
      </c>
      <c r="E100" s="97">
        <f>Invullblad!E16*1000</f>
        <v>18600000</v>
      </c>
      <c r="F100" s="205">
        <f>C100*E100/10</f>
        <v>150846</v>
      </c>
      <c r="G100" s="122"/>
      <c r="H100" s="97">
        <f>Invullblad!F16*1000</f>
        <v>19600000</v>
      </c>
      <c r="I100" s="200">
        <f>H100*C100/10</f>
        <v>158956</v>
      </c>
      <c r="J100" s="122"/>
      <c r="K100" s="97">
        <f>Invullblad!G16*1000</f>
        <v>17100000</v>
      </c>
      <c r="L100" s="200">
        <f>K100*C100/10</f>
        <v>138681</v>
      </c>
      <c r="M100" s="122"/>
    </row>
    <row r="101" spans="2:13" ht="12">
      <c r="B101" s="102" t="s">
        <v>196</v>
      </c>
      <c r="C101" s="101">
        <v>0.16</v>
      </c>
      <c r="D101" s="104" t="s">
        <v>201</v>
      </c>
      <c r="E101" s="97">
        <f>Invullblad!E20*Invullblad!E21</f>
        <v>500000</v>
      </c>
      <c r="F101" s="205">
        <f>C101*E101/10</f>
        <v>8000</v>
      </c>
      <c r="G101" s="122"/>
      <c r="H101" s="97">
        <f>Invullblad!F20*Invullblad!F21</f>
        <v>500000</v>
      </c>
      <c r="I101" s="200">
        <f>H101*C101/10</f>
        <v>8000</v>
      </c>
      <c r="J101" s="122"/>
      <c r="K101" s="97">
        <f>Invullblad!G20*Invullblad!G21</f>
        <v>500000</v>
      </c>
      <c r="L101" s="200">
        <f>K101*C101/10</f>
        <v>8000</v>
      </c>
      <c r="M101" s="122"/>
    </row>
    <row r="102" spans="2:13" ht="12">
      <c r="B102" s="103" t="s">
        <v>197</v>
      </c>
      <c r="C102" s="107">
        <v>0.16</v>
      </c>
      <c r="D102" s="105" t="s">
        <v>201</v>
      </c>
      <c r="E102" s="106">
        <f>Invullblad!E22*Invullblad!E23</f>
        <v>1860000</v>
      </c>
      <c r="F102" s="207">
        <f>C102*E102/10</f>
        <v>29760</v>
      </c>
      <c r="G102" s="123"/>
      <c r="H102" s="106">
        <f>Invullblad!F22*Invullblad!F23</f>
        <v>1960000</v>
      </c>
      <c r="I102" s="202">
        <f>H102*C102/10</f>
        <v>31360</v>
      </c>
      <c r="J102" s="123"/>
      <c r="K102" s="106">
        <f>Invullblad!G22*Invullblad!G23</f>
        <v>1710000</v>
      </c>
      <c r="L102" s="202">
        <f>K102*C102/10</f>
        <v>27360</v>
      </c>
      <c r="M102" s="123"/>
    </row>
  </sheetData>
  <sheetProtection password="C750" sheet="1" objects="1" scenarios="1" formatCells="0"/>
  <printOptions/>
  <pageMargins left="0.75" right="0.75" top="1" bottom="1" header="0.5" footer="0.5"/>
  <pageSetup fitToHeight="3" horizontalDpi="600" verticalDpi="6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workbookViewId="0" topLeftCell="A1">
      <selection activeCell="A1" sqref="A1"/>
    </sheetView>
  </sheetViews>
  <sheetFormatPr defaultColWidth="8.8515625" defaultRowHeight="12.75"/>
  <cols>
    <col min="1" max="1" width="2.421875" style="47" customWidth="1"/>
    <col min="2" max="2" width="52.421875" style="45" customWidth="1"/>
    <col min="3" max="3" width="11.421875" style="47" customWidth="1"/>
    <col min="4" max="4" width="10.140625" style="46" customWidth="1"/>
    <col min="5" max="5" width="18.8515625" style="92" hidden="1" customWidth="1"/>
    <col min="6" max="6" width="8.7109375" style="154" bestFit="1" customWidth="1"/>
    <col min="7" max="7" width="5.8515625" style="154" bestFit="1" customWidth="1"/>
    <col min="8" max="8" width="16.7109375" style="155" hidden="1" customWidth="1"/>
    <col min="9" max="9" width="8.7109375" style="154" bestFit="1" customWidth="1"/>
    <col min="10" max="10" width="5.7109375" style="154" bestFit="1" customWidth="1"/>
    <col min="11" max="11" width="16.7109375" style="155" hidden="1" customWidth="1"/>
    <col min="12" max="12" width="10.421875" style="156" bestFit="1" customWidth="1"/>
    <col min="13" max="13" width="5.7109375" style="0" bestFit="1" customWidth="1"/>
    <col min="14" max="14" width="0" style="0" hidden="1" customWidth="1"/>
  </cols>
  <sheetData>
    <row r="1" ht="15">
      <c r="B1" s="44" t="s">
        <v>157</v>
      </c>
    </row>
    <row r="2" spans="2:12" ht="12">
      <c r="B2" s="48"/>
      <c r="C2" s="218"/>
      <c r="D2" s="172"/>
      <c r="E2" s="173"/>
      <c r="I2" s="182"/>
      <c r="L2" s="183"/>
    </row>
    <row r="3" spans="2:13" ht="12">
      <c r="B3" s="170" t="s">
        <v>149</v>
      </c>
      <c r="C3" s="215"/>
      <c r="D3" s="216"/>
      <c r="E3" s="173"/>
      <c r="F3" s="174" t="s">
        <v>95</v>
      </c>
      <c r="G3" s="175"/>
      <c r="H3" s="176"/>
      <c r="I3" s="177" t="s">
        <v>95</v>
      </c>
      <c r="J3" s="175"/>
      <c r="K3" s="176"/>
      <c r="L3" s="177" t="s">
        <v>95</v>
      </c>
      <c r="M3" s="178"/>
    </row>
    <row r="4" spans="2:13" ht="12">
      <c r="B4" s="52" t="s">
        <v>0</v>
      </c>
      <c r="C4" s="213"/>
      <c r="D4" s="214"/>
      <c r="F4" s="166">
        <f>F17+F25-F43+F50+F89+F92</f>
        <v>119951.795</v>
      </c>
      <c r="G4" s="158">
        <f>SUM(G5:G8)</f>
        <v>1</v>
      </c>
      <c r="I4" s="157">
        <f>I17+I25-I43+I50+I89+I92</f>
        <v>126833.7</v>
      </c>
      <c r="J4" s="158">
        <f>SUM(J5:J8)</f>
        <v>1</v>
      </c>
      <c r="L4" s="157">
        <f>L17+L25-L43+L50+L89+L92</f>
        <v>113209.53300000001</v>
      </c>
      <c r="M4" s="54">
        <f>SUM(M5:M8)</f>
        <v>0.9999999999999999</v>
      </c>
    </row>
    <row r="5" spans="2:13" ht="12">
      <c r="B5" s="55" t="s">
        <v>139</v>
      </c>
      <c r="C5" s="213"/>
      <c r="D5" s="214"/>
      <c r="F5" s="167">
        <f>F17+F25-F43</f>
        <v>86546.375</v>
      </c>
      <c r="G5" s="160">
        <f>F5/$F$4</f>
        <v>0.7215096280968534</v>
      </c>
      <c r="I5" s="159">
        <f>I17+I25-I43</f>
        <v>86546.375</v>
      </c>
      <c r="J5" s="160">
        <f>I5/$I$4</f>
        <v>0.6823610365383963</v>
      </c>
      <c r="L5" s="159">
        <f>L17+L25-L43</f>
        <v>79962.245</v>
      </c>
      <c r="M5" s="57">
        <f>L5/$L$4</f>
        <v>0.7063207742408052</v>
      </c>
    </row>
    <row r="6" spans="2:13" ht="12">
      <c r="B6" s="55" t="s">
        <v>216</v>
      </c>
      <c r="C6" s="213"/>
      <c r="D6" s="214"/>
      <c r="F6" s="167">
        <f>F50</f>
        <v>17082.5</v>
      </c>
      <c r="G6" s="160">
        <f>F6/$F$4</f>
        <v>0.1424113745025658</v>
      </c>
      <c r="I6" s="159">
        <f>I50</f>
        <v>23060.875</v>
      </c>
      <c r="J6" s="160">
        <f>I6/$I$4</f>
        <v>0.18181977660511364</v>
      </c>
      <c r="L6" s="159">
        <f>L50</f>
        <v>18600.328</v>
      </c>
      <c r="M6" s="57">
        <f>L6/$L$4</f>
        <v>0.16430001526461557</v>
      </c>
    </row>
    <row r="7" spans="2:13" ht="12">
      <c r="B7" s="55" t="s">
        <v>140</v>
      </c>
      <c r="C7" s="213"/>
      <c r="D7" s="214"/>
      <c r="F7" s="167">
        <f>F92</f>
        <v>14973</v>
      </c>
      <c r="G7" s="160">
        <f>F7/$F$4</f>
        <v>0.12482514330027325</v>
      </c>
      <c r="I7" s="159">
        <f>I92</f>
        <v>15778.000000000002</v>
      </c>
      <c r="J7" s="160">
        <f>I7/$I$4</f>
        <v>0.12439911474631744</v>
      </c>
      <c r="L7" s="159">
        <f>L92</f>
        <v>13765.5</v>
      </c>
      <c r="M7" s="57">
        <f>L7/$L$4</f>
        <v>0.12159311707433683</v>
      </c>
    </row>
    <row r="8" spans="2:13" ht="12">
      <c r="B8" s="55" t="s">
        <v>141</v>
      </c>
      <c r="C8" s="213"/>
      <c r="D8" s="214"/>
      <c r="F8" s="167">
        <f>F89</f>
        <v>1349.92</v>
      </c>
      <c r="G8" s="161">
        <f>F8/$F$4</f>
        <v>0.011253854100307546</v>
      </c>
      <c r="I8" s="159">
        <f>I89</f>
        <v>1448.45</v>
      </c>
      <c r="J8" s="160">
        <f>I8/$I$4</f>
        <v>0.011420072110172612</v>
      </c>
      <c r="L8" s="159">
        <f>L89</f>
        <v>881.46</v>
      </c>
      <c r="M8" s="57">
        <f>L8/$L$4</f>
        <v>0.007786093420242268</v>
      </c>
    </row>
    <row r="9" spans="2:13" ht="12">
      <c r="B9" s="55"/>
      <c r="C9" s="213"/>
      <c r="D9" s="214"/>
      <c r="F9" s="167"/>
      <c r="G9" s="161"/>
      <c r="I9" s="159"/>
      <c r="J9" s="161"/>
      <c r="L9" s="159"/>
      <c r="M9" s="58"/>
    </row>
    <row r="10" spans="2:13" ht="12">
      <c r="B10" s="52" t="s">
        <v>150</v>
      </c>
      <c r="C10" s="213"/>
      <c r="D10" s="214"/>
      <c r="F10" s="168">
        <f>(F25-F40)/F4</f>
        <v>0.42306494871544026</v>
      </c>
      <c r="G10" s="161"/>
      <c r="I10" s="162">
        <f>(I25-I40)/I4</f>
        <v>0.4001097500112352</v>
      </c>
      <c r="J10" s="161"/>
      <c r="L10" s="162">
        <f>(L25-L40)/L4</f>
        <v>0.47067387867415716</v>
      </c>
      <c r="M10" s="58"/>
    </row>
    <row r="11" spans="2:13" ht="12">
      <c r="B11" s="52"/>
      <c r="C11" s="213"/>
      <c r="D11" s="214"/>
      <c r="F11" s="166"/>
      <c r="G11" s="163"/>
      <c r="I11" s="157"/>
      <c r="J11" s="163"/>
      <c r="L11" s="157"/>
      <c r="M11" s="59"/>
    </row>
    <row r="12" spans="2:13" ht="12">
      <c r="B12" s="52" t="s">
        <v>177</v>
      </c>
      <c r="C12" s="213"/>
      <c r="D12" s="214"/>
      <c r="F12" s="169">
        <f>F4/Invullblad!$E$14</f>
        <v>0.3874537129752253</v>
      </c>
      <c r="G12" s="163"/>
      <c r="I12" s="164">
        <f>I4/Invullblad!$E$14</f>
        <v>0.4096828062921929</v>
      </c>
      <c r="J12" s="163"/>
      <c r="L12" s="164">
        <f>L4/Invullblad!$E$14</f>
        <v>0.3656756775089635</v>
      </c>
      <c r="M12" s="59"/>
    </row>
    <row r="13" spans="2:13" ht="12">
      <c r="B13" s="60" t="s">
        <v>178</v>
      </c>
      <c r="C13" s="215"/>
      <c r="D13" s="216"/>
      <c r="F13" s="225">
        <f>F4/Invullblad!$E$9</f>
        <v>0.007431036736463883</v>
      </c>
      <c r="G13" s="165"/>
      <c r="I13" s="226">
        <f>I4/Invullblad!$E$9</f>
        <v>0.007857372072853426</v>
      </c>
      <c r="J13" s="165"/>
      <c r="L13" s="226">
        <f>L4/Invullblad!$E$9</f>
        <v>0.007013352310742164</v>
      </c>
      <c r="M13" s="61"/>
    </row>
    <row r="15" spans="3:13" ht="24">
      <c r="C15" s="211" t="s">
        <v>220</v>
      </c>
      <c r="D15" s="217" t="s">
        <v>7</v>
      </c>
      <c r="E15" s="93" t="s">
        <v>164</v>
      </c>
      <c r="F15" s="129" t="str">
        <f>Invullblad!E6</f>
        <v>Bio-P</v>
      </c>
      <c r="G15" s="130"/>
      <c r="H15" s="131" t="s">
        <v>164</v>
      </c>
      <c r="I15" s="129" t="str">
        <f>Invullblad!F6</f>
        <v>Chem-P</v>
      </c>
      <c r="J15" s="132"/>
      <c r="K15" s="131" t="s">
        <v>164</v>
      </c>
      <c r="L15" s="129" t="str">
        <f>Invullblad!G6</f>
        <v>Preprecep</v>
      </c>
      <c r="M15" s="118"/>
    </row>
    <row r="16" spans="3:13" ht="12">
      <c r="C16" s="212" t="s">
        <v>38</v>
      </c>
      <c r="D16" s="83"/>
      <c r="E16" s="94" t="s">
        <v>165</v>
      </c>
      <c r="F16" s="133" t="s">
        <v>148</v>
      </c>
      <c r="G16" s="134"/>
      <c r="H16" s="135" t="s">
        <v>170</v>
      </c>
      <c r="I16" s="133" t="s">
        <v>148</v>
      </c>
      <c r="J16" s="136"/>
      <c r="K16" s="135" t="s">
        <v>171</v>
      </c>
      <c r="L16" s="133" t="s">
        <v>148</v>
      </c>
      <c r="M16" s="119"/>
    </row>
    <row r="17" spans="2:13" ht="15">
      <c r="B17" s="62" t="s">
        <v>27</v>
      </c>
      <c r="C17" s="64"/>
      <c r="D17" s="63"/>
      <c r="E17" s="95"/>
      <c r="F17" s="137">
        <f>SUM(F18:F23)</f>
        <v>35798.975</v>
      </c>
      <c r="G17" s="138"/>
      <c r="H17" s="139"/>
      <c r="I17" s="137">
        <f>SUM(I18:I23)</f>
        <v>35798.975</v>
      </c>
      <c r="J17" s="140"/>
      <c r="K17" s="139"/>
      <c r="L17" s="137">
        <f>SUM(L18:L23)</f>
        <v>26677.475</v>
      </c>
      <c r="M17" s="126"/>
    </row>
    <row r="18" spans="2:13" ht="12">
      <c r="B18" s="65" t="s">
        <v>27</v>
      </c>
      <c r="C18" s="67"/>
      <c r="D18" s="66"/>
      <c r="E18" s="96"/>
      <c r="F18" s="141"/>
      <c r="G18" s="142"/>
      <c r="H18" s="143"/>
      <c r="I18" s="141"/>
      <c r="J18" s="142"/>
      <c r="K18" s="143"/>
      <c r="L18" s="141"/>
      <c r="M18" s="127"/>
    </row>
    <row r="19" spans="2:13" ht="12">
      <c r="B19" s="68" t="s">
        <v>218</v>
      </c>
      <c r="C19" s="67">
        <v>9</v>
      </c>
      <c r="D19" s="70" t="s">
        <v>8</v>
      </c>
      <c r="E19" s="89">
        <f>Invullblad!E27</f>
        <v>3700000</v>
      </c>
      <c r="F19" s="141">
        <f>C19*E19/1000</f>
        <v>33300</v>
      </c>
      <c r="G19" s="142"/>
      <c r="H19" s="144">
        <f>Invullblad!F27</f>
        <v>3700000</v>
      </c>
      <c r="I19" s="141">
        <f>H19*C19/1000</f>
        <v>33300</v>
      </c>
      <c r="J19" s="142"/>
      <c r="K19" s="144">
        <f>Invullblad!G27</f>
        <v>2686500</v>
      </c>
      <c r="L19" s="141">
        <f>K19*C19/1000</f>
        <v>24178.5</v>
      </c>
      <c r="M19" s="122"/>
    </row>
    <row r="20" spans="2:13" ht="12">
      <c r="B20" s="68" t="s">
        <v>9</v>
      </c>
      <c r="C20" s="42">
        <v>31.65</v>
      </c>
      <c r="D20" s="70" t="s">
        <v>10</v>
      </c>
      <c r="E20" s="89">
        <f>Invullblad!E28</f>
        <v>11500</v>
      </c>
      <c r="F20" s="141">
        <f>C20*E20/1000</f>
        <v>363.975</v>
      </c>
      <c r="G20" s="142"/>
      <c r="H20" s="144">
        <f>Invullblad!F28</f>
        <v>11500</v>
      </c>
      <c r="I20" s="141">
        <f>H20*C20/1000</f>
        <v>363.975</v>
      </c>
      <c r="J20" s="142"/>
      <c r="K20" s="144">
        <f>Invullblad!G28</f>
        <v>11500</v>
      </c>
      <c r="L20" s="141">
        <f aca="true" t="shared" si="0" ref="L20:L77">K20*C20/1000</f>
        <v>363.975</v>
      </c>
      <c r="M20" s="122"/>
    </row>
    <row r="21" spans="2:13" ht="12">
      <c r="B21" s="68" t="s">
        <v>11</v>
      </c>
      <c r="C21" s="71">
        <v>1110</v>
      </c>
      <c r="D21" s="70" t="s">
        <v>16</v>
      </c>
      <c r="E21" s="89">
        <f>Invullblad!E29</f>
        <v>0</v>
      </c>
      <c r="F21" s="141">
        <f>C21*E21/1000</f>
        <v>0</v>
      </c>
      <c r="G21" s="142"/>
      <c r="H21" s="144">
        <f>Invullblad!F29</f>
        <v>0</v>
      </c>
      <c r="I21" s="141">
        <f>H21*C21/1000</f>
        <v>0</v>
      </c>
      <c r="J21" s="142"/>
      <c r="K21" s="144">
        <f>Invullblad!G29</f>
        <v>0</v>
      </c>
      <c r="L21" s="141">
        <f t="shared" si="0"/>
        <v>0</v>
      </c>
      <c r="M21" s="122"/>
    </row>
    <row r="22" spans="2:13" ht="12">
      <c r="B22" s="65" t="s">
        <v>28</v>
      </c>
      <c r="C22" s="67"/>
      <c r="D22" s="70"/>
      <c r="E22" s="89"/>
      <c r="F22" s="141"/>
      <c r="G22" s="142"/>
      <c r="H22" s="144"/>
      <c r="I22" s="141"/>
      <c r="J22" s="142"/>
      <c r="K22" s="144"/>
      <c r="L22" s="141">
        <f t="shared" si="0"/>
        <v>0</v>
      </c>
      <c r="M22" s="122"/>
    </row>
    <row r="23" spans="2:13" ht="12">
      <c r="B23" s="68" t="s">
        <v>100</v>
      </c>
      <c r="C23" s="67">
        <v>42.7</v>
      </c>
      <c r="D23" s="70" t="s">
        <v>17</v>
      </c>
      <c r="E23" s="89">
        <f>Invullblad!E31</f>
        <v>50000</v>
      </c>
      <c r="F23" s="141">
        <f>C23*E23/1000</f>
        <v>2135</v>
      </c>
      <c r="G23" s="142"/>
      <c r="H23" s="144">
        <f>Invullblad!F31</f>
        <v>50000</v>
      </c>
      <c r="I23" s="141">
        <f>H23*C23/1000</f>
        <v>2135</v>
      </c>
      <c r="J23" s="142"/>
      <c r="K23" s="144">
        <f>Invullblad!G31</f>
        <v>50000</v>
      </c>
      <c r="L23" s="141">
        <f t="shared" si="0"/>
        <v>2135</v>
      </c>
      <c r="M23" s="122"/>
    </row>
    <row r="24" spans="2:13" ht="12">
      <c r="B24" s="80"/>
      <c r="C24" s="67"/>
      <c r="D24" s="81"/>
      <c r="E24" s="100"/>
      <c r="F24" s="141"/>
      <c r="G24" s="142"/>
      <c r="H24" s="145"/>
      <c r="I24" s="141"/>
      <c r="J24" s="142"/>
      <c r="K24" s="145"/>
      <c r="L24" s="141"/>
      <c r="M24" s="122"/>
    </row>
    <row r="25" spans="2:13" ht="15">
      <c r="B25" s="78" t="s">
        <v>2</v>
      </c>
      <c r="C25" s="67"/>
      <c r="D25" s="66"/>
      <c r="E25" s="96"/>
      <c r="F25" s="146">
        <f>F29+SUM(F34:F40)</f>
        <v>50747.4</v>
      </c>
      <c r="G25" s="147"/>
      <c r="H25" s="143"/>
      <c r="I25" s="146">
        <f>I29+SUM(I34:I40)</f>
        <v>50747.4</v>
      </c>
      <c r="J25" s="148"/>
      <c r="K25" s="143"/>
      <c r="L25" s="146">
        <f>L29+SUM(L34:L40)</f>
        <v>53284.77</v>
      </c>
      <c r="M25" s="122"/>
    </row>
    <row r="26" spans="2:13" ht="12">
      <c r="B26" s="65" t="s">
        <v>3</v>
      </c>
      <c r="C26" s="67"/>
      <c r="D26" s="66"/>
      <c r="E26" s="96"/>
      <c r="F26" s="141"/>
      <c r="G26" s="142"/>
      <c r="H26" s="143"/>
      <c r="I26" s="141"/>
      <c r="J26" s="142"/>
      <c r="K26" s="143"/>
      <c r="L26" s="141"/>
      <c r="M26" s="127"/>
    </row>
    <row r="27" spans="2:13" ht="13.5" customHeight="1">
      <c r="B27" s="72" t="s">
        <v>14</v>
      </c>
      <c r="C27" s="67">
        <v>23.3</v>
      </c>
      <c r="D27" s="66" t="s">
        <v>10</v>
      </c>
      <c r="E27" s="89">
        <f>Invullblad!E35</f>
        <v>2270000</v>
      </c>
      <c r="F27" s="141">
        <f>C27*E27/1000</f>
        <v>52891</v>
      </c>
      <c r="G27" s="142"/>
      <c r="H27" s="144">
        <f>Invullblad!F35</f>
        <v>2270000</v>
      </c>
      <c r="I27" s="141">
        <f>H27*C27/1000</f>
        <v>52891</v>
      </c>
      <c r="J27" s="142"/>
      <c r="K27" s="144">
        <f>Invullblad!G35</f>
        <v>2383500</v>
      </c>
      <c r="L27" s="141">
        <f t="shared" si="0"/>
        <v>55535.55</v>
      </c>
      <c r="M27" s="122"/>
    </row>
    <row r="28" spans="2:13" ht="12">
      <c r="B28" s="72" t="s">
        <v>20</v>
      </c>
      <c r="C28" s="67">
        <v>23.3</v>
      </c>
      <c r="D28" s="66" t="s">
        <v>10</v>
      </c>
      <c r="E28" s="89">
        <f>Invullblad!E36</f>
        <v>92000</v>
      </c>
      <c r="F28" s="141">
        <f>C28*E28/1000</f>
        <v>2143.6</v>
      </c>
      <c r="G28" s="142"/>
      <c r="H28" s="144">
        <f>Invullblad!F36</f>
        <v>92000</v>
      </c>
      <c r="I28" s="141">
        <f>H28*C28/1000</f>
        <v>2143.6</v>
      </c>
      <c r="J28" s="142"/>
      <c r="K28" s="144">
        <f>Invullblad!G36</f>
        <v>96600</v>
      </c>
      <c r="L28" s="141">
        <f t="shared" si="0"/>
        <v>2250.78</v>
      </c>
      <c r="M28" s="122"/>
    </row>
    <row r="29" spans="2:13" ht="12">
      <c r="B29" s="72" t="s">
        <v>24</v>
      </c>
      <c r="C29" s="67">
        <v>23.3</v>
      </c>
      <c r="D29" s="66" t="s">
        <v>10</v>
      </c>
      <c r="E29" s="89">
        <f>Invullblad!E37</f>
        <v>2178000</v>
      </c>
      <c r="F29" s="141">
        <f>C29*E29/1000</f>
        <v>50747.4</v>
      </c>
      <c r="G29" s="142"/>
      <c r="H29" s="144">
        <f>Invullblad!F37</f>
        <v>2178000</v>
      </c>
      <c r="I29" s="141">
        <f>H29*C29/1000</f>
        <v>50747.4</v>
      </c>
      <c r="J29" s="142"/>
      <c r="K29" s="144">
        <f>Invullblad!G37</f>
        <v>2286900</v>
      </c>
      <c r="L29" s="141">
        <f t="shared" si="0"/>
        <v>53284.77</v>
      </c>
      <c r="M29" s="122"/>
    </row>
    <row r="30" spans="2:13" ht="12">
      <c r="B30" s="73" t="s">
        <v>21</v>
      </c>
      <c r="C30" s="67"/>
      <c r="D30" s="66" t="s">
        <v>10</v>
      </c>
      <c r="E30" s="89">
        <f>Invullblad!E38</f>
        <v>0</v>
      </c>
      <c r="F30" s="141"/>
      <c r="G30" s="142"/>
      <c r="H30" s="144">
        <f>Invullblad!F38</f>
        <v>0</v>
      </c>
      <c r="I30" s="141"/>
      <c r="J30" s="142"/>
      <c r="K30" s="144">
        <f>Invullblad!G38</f>
        <v>0</v>
      </c>
      <c r="L30" s="141">
        <f t="shared" si="0"/>
        <v>0</v>
      </c>
      <c r="M30" s="122"/>
    </row>
    <row r="31" spans="2:13" ht="12">
      <c r="B31" s="73" t="s">
        <v>22</v>
      </c>
      <c r="C31" s="67"/>
      <c r="D31" s="66" t="s">
        <v>10</v>
      </c>
      <c r="E31" s="89">
        <f>Invullblad!E39</f>
        <v>2178000</v>
      </c>
      <c r="F31" s="141"/>
      <c r="G31" s="142"/>
      <c r="H31" s="144">
        <f>Invullblad!F39</f>
        <v>2178000</v>
      </c>
      <c r="I31" s="141"/>
      <c r="J31" s="142"/>
      <c r="K31" s="144">
        <f>Invullblad!G39</f>
        <v>2286900</v>
      </c>
      <c r="L31" s="141">
        <f t="shared" si="0"/>
        <v>0</v>
      </c>
      <c r="M31" s="122"/>
    </row>
    <row r="32" spans="2:13" ht="12">
      <c r="B32" s="73" t="s">
        <v>98</v>
      </c>
      <c r="C32" s="67"/>
      <c r="D32" s="66" t="s">
        <v>10</v>
      </c>
      <c r="E32" s="89">
        <f>Invullblad!E40</f>
        <v>0</v>
      </c>
      <c r="F32" s="141"/>
      <c r="G32" s="142"/>
      <c r="H32" s="144">
        <f>Invullblad!F40</f>
        <v>0</v>
      </c>
      <c r="I32" s="141"/>
      <c r="J32" s="142"/>
      <c r="K32" s="144">
        <f>Invullblad!G40</f>
        <v>0</v>
      </c>
      <c r="L32" s="141">
        <f t="shared" si="0"/>
        <v>0</v>
      </c>
      <c r="M32" s="122"/>
    </row>
    <row r="33" spans="2:13" ht="12">
      <c r="B33" s="72" t="s">
        <v>23</v>
      </c>
      <c r="C33" s="67">
        <v>9</v>
      </c>
      <c r="D33" s="66" t="s">
        <v>8</v>
      </c>
      <c r="E33" s="89">
        <f>Invullblad!E41</f>
        <v>4330000</v>
      </c>
      <c r="F33" s="141">
        <f>C33*E33/1000</f>
        <v>38970</v>
      </c>
      <c r="G33" s="142"/>
      <c r="H33" s="144">
        <f>Invullblad!F41</f>
        <v>4330000</v>
      </c>
      <c r="I33" s="141">
        <f>H33*C33/1000</f>
        <v>38970</v>
      </c>
      <c r="J33" s="142"/>
      <c r="K33" s="144">
        <f>Invullblad!G41</f>
        <v>4546500</v>
      </c>
      <c r="L33" s="141">
        <f t="shared" si="0"/>
        <v>40918.5</v>
      </c>
      <c r="M33" s="122"/>
    </row>
    <row r="34" spans="2:13" ht="12">
      <c r="B34" s="65" t="s">
        <v>166</v>
      </c>
      <c r="C34" s="67"/>
      <c r="D34" s="66"/>
      <c r="E34" s="89"/>
      <c r="F34" s="141"/>
      <c r="G34" s="142"/>
      <c r="H34" s="144"/>
      <c r="I34" s="141"/>
      <c r="J34" s="142"/>
      <c r="K34" s="144"/>
      <c r="L34" s="141"/>
      <c r="M34" s="122"/>
    </row>
    <row r="35" spans="2:13" ht="12">
      <c r="B35" s="72" t="s">
        <v>30</v>
      </c>
      <c r="C35" s="67"/>
      <c r="D35" s="66"/>
      <c r="E35" s="89"/>
      <c r="F35" s="141"/>
      <c r="G35" s="142"/>
      <c r="H35" s="144"/>
      <c r="I35" s="141"/>
      <c r="J35" s="142"/>
      <c r="K35" s="144"/>
      <c r="L35" s="141"/>
      <c r="M35" s="127"/>
    </row>
    <row r="36" spans="2:13" ht="12">
      <c r="B36" s="73" t="str">
        <f>Invullblad!B44</f>
        <v>Wind</v>
      </c>
      <c r="C36" s="67">
        <v>9</v>
      </c>
      <c r="D36" s="66" t="s">
        <v>8</v>
      </c>
      <c r="E36" s="89">
        <f>Invullblad!E44</f>
        <v>0</v>
      </c>
      <c r="F36" s="141">
        <f>C36*E36/1000</f>
        <v>0</v>
      </c>
      <c r="G36" s="142"/>
      <c r="H36" s="144">
        <f>Invullblad!F44</f>
        <v>0</v>
      </c>
      <c r="I36" s="141">
        <f>H36*C36/1000</f>
        <v>0</v>
      </c>
      <c r="J36" s="142"/>
      <c r="K36" s="144">
        <f>Invullblad!G44</f>
        <v>0</v>
      </c>
      <c r="L36" s="141">
        <f t="shared" si="0"/>
        <v>0</v>
      </c>
      <c r="M36" s="122"/>
    </row>
    <row r="37" spans="2:13" ht="12">
      <c r="B37" s="73" t="s">
        <v>217</v>
      </c>
      <c r="C37" s="67">
        <v>9</v>
      </c>
      <c r="D37" s="66" t="s">
        <v>8</v>
      </c>
      <c r="E37" s="89">
        <f>Invullblad!E45</f>
        <v>0</v>
      </c>
      <c r="F37" s="141">
        <f>C37*E37/1000</f>
        <v>0</v>
      </c>
      <c r="G37" s="142"/>
      <c r="H37" s="144">
        <f>Invullblad!F45</f>
        <v>0</v>
      </c>
      <c r="I37" s="141">
        <f>H37*C37/1000</f>
        <v>0</v>
      </c>
      <c r="J37" s="142"/>
      <c r="K37" s="144">
        <f>Invullblad!G45</f>
        <v>0</v>
      </c>
      <c r="L37" s="141">
        <f t="shared" si="0"/>
        <v>0</v>
      </c>
      <c r="M37" s="122"/>
    </row>
    <row r="38" spans="2:13" ht="12">
      <c r="B38" s="73"/>
      <c r="C38" s="67"/>
      <c r="D38" s="66"/>
      <c r="E38" s="89"/>
      <c r="F38" s="141"/>
      <c r="G38" s="142"/>
      <c r="H38" s="144"/>
      <c r="I38" s="141"/>
      <c r="J38" s="142"/>
      <c r="K38" s="144"/>
      <c r="L38" s="141"/>
      <c r="M38" s="122"/>
    </row>
    <row r="39" spans="2:13" ht="12">
      <c r="B39" s="74" t="s">
        <v>40</v>
      </c>
      <c r="C39" s="67"/>
      <c r="D39" s="66"/>
      <c r="E39" s="89"/>
      <c r="F39" s="141"/>
      <c r="G39" s="142"/>
      <c r="H39" s="144"/>
      <c r="I39" s="141"/>
      <c r="J39" s="142"/>
      <c r="K39" s="144"/>
      <c r="L39" s="141"/>
      <c r="M39" s="122"/>
    </row>
    <row r="40" spans="2:13" ht="12">
      <c r="B40" s="72" t="s">
        <v>97</v>
      </c>
      <c r="C40" s="67">
        <v>9</v>
      </c>
      <c r="D40" s="66" t="s">
        <v>8</v>
      </c>
      <c r="E40" s="89">
        <f>Invullblad!E50</f>
        <v>0</v>
      </c>
      <c r="F40" s="141">
        <f>C40*E40/1000</f>
        <v>0</v>
      </c>
      <c r="G40" s="142"/>
      <c r="H40" s="144">
        <f>Invullblad!F50</f>
        <v>0</v>
      </c>
      <c r="I40" s="141">
        <f>H40*C40/1000</f>
        <v>0</v>
      </c>
      <c r="J40" s="142"/>
      <c r="K40" s="144">
        <f>Invullblad!G50</f>
        <v>0</v>
      </c>
      <c r="L40" s="141">
        <f t="shared" si="0"/>
        <v>0</v>
      </c>
      <c r="M40" s="127"/>
    </row>
    <row r="41" spans="2:13" ht="12">
      <c r="B41" s="75"/>
      <c r="C41" s="67"/>
      <c r="D41" s="66"/>
      <c r="E41" s="89"/>
      <c r="F41" s="141"/>
      <c r="G41" s="142"/>
      <c r="H41" s="144"/>
      <c r="I41" s="141"/>
      <c r="J41" s="142"/>
      <c r="K41" s="144"/>
      <c r="L41" s="141"/>
      <c r="M41" s="122"/>
    </row>
    <row r="42" spans="2:13" ht="12">
      <c r="B42" s="75"/>
      <c r="C42" s="67"/>
      <c r="D42" s="66"/>
      <c r="E42" s="89"/>
      <c r="F42" s="141"/>
      <c r="G42" s="142"/>
      <c r="H42" s="144"/>
      <c r="I42" s="141"/>
      <c r="J42" s="142"/>
      <c r="K42" s="144"/>
      <c r="L42" s="141"/>
      <c r="M42" s="122"/>
    </row>
    <row r="43" spans="2:13" ht="15">
      <c r="B43" s="78" t="s">
        <v>32</v>
      </c>
      <c r="C43" s="67"/>
      <c r="D43" s="66"/>
      <c r="E43" s="89"/>
      <c r="F43" s="146">
        <f>SUM(F44:F48)</f>
        <v>0</v>
      </c>
      <c r="G43" s="147"/>
      <c r="H43" s="144"/>
      <c r="I43" s="146">
        <f>SUM(I44:I48)</f>
        <v>0</v>
      </c>
      <c r="J43" s="148"/>
      <c r="K43" s="144"/>
      <c r="L43" s="146">
        <f>SUM(L44:L48)</f>
        <v>0</v>
      </c>
      <c r="M43" s="127"/>
    </row>
    <row r="44" spans="2:13" ht="12">
      <c r="B44" s="76" t="s">
        <v>5</v>
      </c>
      <c r="C44" s="71">
        <v>1110</v>
      </c>
      <c r="D44" s="66" t="s">
        <v>16</v>
      </c>
      <c r="E44" s="89">
        <f>Invullblad!E53</f>
        <v>0</v>
      </c>
      <c r="F44" s="141">
        <f>C44*E44/1000</f>
        <v>0</v>
      </c>
      <c r="G44" s="142"/>
      <c r="H44" s="144">
        <f>Invullblad!F53</f>
        <v>0</v>
      </c>
      <c r="I44" s="141">
        <f>H44*C44/1000</f>
        <v>0</v>
      </c>
      <c r="J44" s="142"/>
      <c r="K44" s="144">
        <f>Invullblad!G53</f>
        <v>0</v>
      </c>
      <c r="L44" s="141">
        <f t="shared" si="0"/>
        <v>0</v>
      </c>
      <c r="M44" s="122"/>
    </row>
    <row r="45" spans="2:13" ht="12">
      <c r="B45" s="76" t="s">
        <v>6</v>
      </c>
      <c r="C45" s="67">
        <v>9</v>
      </c>
      <c r="D45" s="66" t="s">
        <v>8</v>
      </c>
      <c r="E45" s="89">
        <f>Invullblad!E54</f>
        <v>0</v>
      </c>
      <c r="F45" s="141">
        <f>C45*E45/1000</f>
        <v>0</v>
      </c>
      <c r="G45" s="142"/>
      <c r="H45" s="144">
        <f>Invullblad!F54</f>
        <v>0</v>
      </c>
      <c r="I45" s="141">
        <f>H45*C45/1000</f>
        <v>0</v>
      </c>
      <c r="J45" s="142"/>
      <c r="K45" s="144">
        <f>Invullblad!G54</f>
        <v>0</v>
      </c>
      <c r="L45" s="141">
        <f t="shared" si="0"/>
        <v>0</v>
      </c>
      <c r="M45" s="122"/>
    </row>
    <row r="46" spans="2:13" ht="12">
      <c r="B46" s="76" t="s">
        <v>33</v>
      </c>
      <c r="C46" s="67"/>
      <c r="D46" s="66"/>
      <c r="E46" s="89"/>
      <c r="F46" s="141"/>
      <c r="G46" s="142"/>
      <c r="H46" s="144"/>
      <c r="I46" s="141"/>
      <c r="J46" s="142"/>
      <c r="K46" s="144"/>
      <c r="L46" s="141"/>
      <c r="M46" s="122"/>
    </row>
    <row r="47" spans="2:13" ht="12">
      <c r="B47" s="68" t="s">
        <v>4</v>
      </c>
      <c r="C47" s="67"/>
      <c r="D47" s="77" t="s">
        <v>15</v>
      </c>
      <c r="E47" s="89">
        <f>Invullblad!E56</f>
        <v>90</v>
      </c>
      <c r="F47" s="141"/>
      <c r="G47" s="142"/>
      <c r="H47" s="144">
        <f>Invullblad!F56</f>
        <v>90</v>
      </c>
      <c r="I47" s="141"/>
      <c r="J47" s="142"/>
      <c r="K47" s="144">
        <f>Invullblad!G56</f>
        <v>90</v>
      </c>
      <c r="L47" s="141"/>
      <c r="M47" s="122"/>
    </row>
    <row r="48" spans="2:13" ht="12">
      <c r="B48" s="68" t="s">
        <v>35</v>
      </c>
      <c r="C48" s="67">
        <f>E47/100*35.9</f>
        <v>32.31</v>
      </c>
      <c r="D48" s="66" t="s">
        <v>10</v>
      </c>
      <c r="E48" s="89">
        <f>Invullblad!E57</f>
        <v>0</v>
      </c>
      <c r="F48" s="141">
        <f>C48*E48/1000</f>
        <v>0</v>
      </c>
      <c r="G48" s="142"/>
      <c r="H48" s="144">
        <f>Invullblad!F57</f>
        <v>0</v>
      </c>
      <c r="I48" s="141">
        <f>H48*C48/1000</f>
        <v>0</v>
      </c>
      <c r="J48" s="142"/>
      <c r="K48" s="144">
        <f>Invullblad!G57</f>
        <v>0</v>
      </c>
      <c r="L48" s="141">
        <f t="shared" si="0"/>
        <v>0</v>
      </c>
      <c r="M48" s="122"/>
    </row>
    <row r="49" spans="2:13" ht="12">
      <c r="B49" s="75"/>
      <c r="C49" s="67"/>
      <c r="D49" s="66"/>
      <c r="E49" s="89"/>
      <c r="F49" s="141"/>
      <c r="G49" s="142"/>
      <c r="H49" s="144"/>
      <c r="I49" s="141"/>
      <c r="J49" s="142"/>
      <c r="K49" s="144"/>
      <c r="L49" s="141"/>
      <c r="M49" s="122"/>
    </row>
    <row r="50" spans="2:13" ht="15">
      <c r="B50" s="78" t="s">
        <v>215</v>
      </c>
      <c r="C50" s="67"/>
      <c r="D50" s="66"/>
      <c r="E50" s="89"/>
      <c r="F50" s="146">
        <f>SUM(F51:F87)</f>
        <v>17082.5</v>
      </c>
      <c r="G50" s="148"/>
      <c r="H50" s="144"/>
      <c r="I50" s="146">
        <f>SUM(I51:I87)</f>
        <v>23060.875</v>
      </c>
      <c r="J50" s="148"/>
      <c r="K50" s="144"/>
      <c r="L50" s="146">
        <f>SUM(L51:L87)</f>
        <v>18600.328</v>
      </c>
      <c r="M50" s="128"/>
    </row>
    <row r="51" spans="1:14" ht="12">
      <c r="A51" s="82"/>
      <c r="B51" s="72" t="str">
        <f>Invullblad!B60</f>
        <v>Aluminiumchloride, hydraatvorm</v>
      </c>
      <c r="C51" s="67">
        <f>N51*Invullblad!D60</f>
        <v>14.9</v>
      </c>
      <c r="D51" s="66" t="s">
        <v>17</v>
      </c>
      <c r="E51" s="89">
        <f>Invullblad!E60</f>
        <v>0</v>
      </c>
      <c r="F51" s="141">
        <f aca="true" t="shared" si="1" ref="F51:F87">C51*E51/1000</f>
        <v>0</v>
      </c>
      <c r="G51" s="142"/>
      <c r="H51" s="144">
        <f>Invullblad!F60</f>
        <v>0</v>
      </c>
      <c r="I51" s="141">
        <f aca="true" t="shared" si="2" ref="I51:I87">H51*C51/1000</f>
        <v>0</v>
      </c>
      <c r="J51" s="142"/>
      <c r="K51" s="144">
        <f>Invullblad!G60</f>
        <v>0</v>
      </c>
      <c r="L51" s="141">
        <f t="shared" si="0"/>
        <v>0</v>
      </c>
      <c r="M51" s="122"/>
      <c r="N51" s="67">
        <v>14.9</v>
      </c>
    </row>
    <row r="52" spans="2:14" ht="12">
      <c r="B52" s="72" t="str">
        <f>Invullblad!B61</f>
        <v>Aluminiumsulfaat, poedervorm</v>
      </c>
      <c r="C52" s="67">
        <f>N52*Invullblad!D61</f>
        <v>9.4</v>
      </c>
      <c r="D52" s="66" t="s">
        <v>17</v>
      </c>
      <c r="E52" s="89">
        <f>Invullblad!E61</f>
        <v>0</v>
      </c>
      <c r="F52" s="141">
        <f t="shared" si="1"/>
        <v>0</v>
      </c>
      <c r="G52" s="142"/>
      <c r="H52" s="144">
        <f>Invullblad!F61</f>
        <v>0</v>
      </c>
      <c r="I52" s="141">
        <f t="shared" si="2"/>
        <v>0</v>
      </c>
      <c r="J52" s="142"/>
      <c r="K52" s="144">
        <f>Invullblad!G61</f>
        <v>0</v>
      </c>
      <c r="L52" s="141">
        <f t="shared" si="0"/>
        <v>0</v>
      </c>
      <c r="M52" s="122"/>
      <c r="N52" s="67">
        <v>9.4</v>
      </c>
    </row>
    <row r="53" spans="2:14" ht="12">
      <c r="B53" s="72" t="str">
        <f>Invullblad!B62</f>
        <v>Antiscalants (polycarboxylaten)</v>
      </c>
      <c r="C53" s="67">
        <f>N53*Invullblad!D62</f>
        <v>29.6</v>
      </c>
      <c r="D53" s="66" t="s">
        <v>17</v>
      </c>
      <c r="E53" s="89">
        <f>Invullblad!E62</f>
        <v>0</v>
      </c>
      <c r="F53" s="141">
        <f t="shared" si="1"/>
        <v>0</v>
      </c>
      <c r="G53" s="142"/>
      <c r="H53" s="144">
        <f>Invullblad!F62</f>
        <v>0</v>
      </c>
      <c r="I53" s="141">
        <f t="shared" si="2"/>
        <v>0</v>
      </c>
      <c r="J53" s="142"/>
      <c r="K53" s="144">
        <f>Invullblad!G62</f>
        <v>0</v>
      </c>
      <c r="L53" s="141">
        <f t="shared" si="0"/>
        <v>0</v>
      </c>
      <c r="M53" s="122"/>
      <c r="N53" s="67">
        <v>29.6</v>
      </c>
    </row>
    <row r="54" spans="2:14" ht="12">
      <c r="B54" s="72" t="str">
        <f>Invullblad!B63</f>
        <v>Azijnzuur</v>
      </c>
      <c r="C54" s="67">
        <f>N54*Invullblad!D63</f>
        <v>52.332</v>
      </c>
      <c r="D54" s="66" t="s">
        <v>17</v>
      </c>
      <c r="E54" s="89">
        <f>Invullblad!E63</f>
        <v>0</v>
      </c>
      <c r="F54" s="141">
        <f t="shared" si="1"/>
        <v>0</v>
      </c>
      <c r="G54" s="142"/>
      <c r="H54" s="144">
        <f>Invullblad!F63</f>
        <v>0</v>
      </c>
      <c r="I54" s="141">
        <f t="shared" si="2"/>
        <v>0</v>
      </c>
      <c r="J54" s="142"/>
      <c r="K54" s="144">
        <f>Invullblad!G63</f>
        <v>0</v>
      </c>
      <c r="L54" s="141">
        <f t="shared" si="0"/>
        <v>0</v>
      </c>
      <c r="M54" s="122"/>
      <c r="N54" s="67">
        <v>53.4</v>
      </c>
    </row>
    <row r="55" spans="2:14" ht="12">
      <c r="B55" s="72" t="str">
        <f>Invullblad!B64</f>
        <v>Bio-ethanol</v>
      </c>
      <c r="C55" s="67">
        <f>N55*Invullblad!D64</f>
        <v>70.4879</v>
      </c>
      <c r="D55" s="66" t="s">
        <v>17</v>
      </c>
      <c r="E55" s="89">
        <f>Invullblad!E64</f>
        <v>0</v>
      </c>
      <c r="F55" s="141">
        <f t="shared" si="1"/>
        <v>0</v>
      </c>
      <c r="G55" s="142"/>
      <c r="H55" s="144">
        <f>Invullblad!F64</f>
        <v>0</v>
      </c>
      <c r="I55" s="141">
        <f t="shared" si="2"/>
        <v>0</v>
      </c>
      <c r="J55" s="142"/>
      <c r="K55" s="144">
        <f>Invullblad!G64</f>
        <v>0</v>
      </c>
      <c r="L55" s="141">
        <f t="shared" si="0"/>
        <v>0</v>
      </c>
      <c r="M55" s="122"/>
      <c r="N55" s="67">
        <v>70.7</v>
      </c>
    </row>
    <row r="56" spans="2:14" ht="12">
      <c r="B56" s="72" t="str">
        <f>Invullblad!B65</f>
        <v>Calciumoxide (ongebluste kalk; poeder) </v>
      </c>
      <c r="C56" s="67">
        <f>N56*Invullblad!D65</f>
        <v>5.8</v>
      </c>
      <c r="D56" s="66" t="s">
        <v>17</v>
      </c>
      <c r="E56" s="89">
        <f>Invullblad!E65</f>
        <v>0</v>
      </c>
      <c r="F56" s="141">
        <f t="shared" si="1"/>
        <v>0</v>
      </c>
      <c r="G56" s="142"/>
      <c r="H56" s="144">
        <f>Invullblad!F65</f>
        <v>0</v>
      </c>
      <c r="I56" s="141">
        <f t="shared" si="2"/>
        <v>0</v>
      </c>
      <c r="J56" s="142"/>
      <c r="K56" s="144">
        <f>Invullblad!G65</f>
        <v>0</v>
      </c>
      <c r="L56" s="141">
        <f t="shared" si="0"/>
        <v>0</v>
      </c>
      <c r="M56" s="122"/>
      <c r="N56" s="67">
        <v>5.8</v>
      </c>
    </row>
    <row r="57" spans="2:14" ht="12">
      <c r="B57" s="72" t="str">
        <f>Invullblad!B66</f>
        <v>Glycerine uit epichloorhydrine</v>
      </c>
      <c r="C57" s="67">
        <f>N57*Invullblad!D66</f>
        <v>102</v>
      </c>
      <c r="D57" s="66" t="s">
        <v>17</v>
      </c>
      <c r="E57" s="89">
        <f>Invullblad!E66</f>
        <v>0</v>
      </c>
      <c r="F57" s="141">
        <f t="shared" si="1"/>
        <v>0</v>
      </c>
      <c r="G57" s="142"/>
      <c r="H57" s="144">
        <f>Invullblad!F66</f>
        <v>0</v>
      </c>
      <c r="I57" s="141">
        <f t="shared" si="2"/>
        <v>0</v>
      </c>
      <c r="J57" s="142"/>
      <c r="K57" s="144">
        <f>Invullblad!G66</f>
        <v>0</v>
      </c>
      <c r="L57" s="141">
        <f t="shared" si="0"/>
        <v>0</v>
      </c>
      <c r="M57" s="122"/>
      <c r="N57" s="67">
        <v>102</v>
      </c>
    </row>
    <row r="58" spans="2:14" ht="12">
      <c r="B58" s="72" t="str">
        <f>Invullblad!B67</f>
        <v>Glycerine uit koolzaadolie</v>
      </c>
      <c r="C58" s="67">
        <f>N58*Invullblad!D67</f>
        <v>100</v>
      </c>
      <c r="D58" s="66" t="s">
        <v>17</v>
      </c>
      <c r="E58" s="89">
        <f>Invullblad!E67</f>
        <v>0</v>
      </c>
      <c r="F58" s="141">
        <f t="shared" si="1"/>
        <v>0</v>
      </c>
      <c r="G58" s="142"/>
      <c r="H58" s="144">
        <f>Invullblad!F67</f>
        <v>0</v>
      </c>
      <c r="I58" s="141">
        <f t="shared" si="2"/>
        <v>0</v>
      </c>
      <c r="J58" s="142"/>
      <c r="K58" s="144">
        <f>Invullblad!G67</f>
        <v>0</v>
      </c>
      <c r="L58" s="141">
        <f t="shared" si="0"/>
        <v>0</v>
      </c>
      <c r="M58" s="122"/>
      <c r="N58" s="67">
        <v>100</v>
      </c>
    </row>
    <row r="59" spans="2:14" ht="12">
      <c r="B59" s="72" t="str">
        <f>Invullblad!B68</f>
        <v>IJzer(III)chloride</v>
      </c>
      <c r="C59" s="67">
        <f>N59*Invullblad!D68</f>
        <v>6.5200000000000005</v>
      </c>
      <c r="D59" s="66" t="s">
        <v>17</v>
      </c>
      <c r="E59" s="89">
        <f>Invullblad!E68</f>
        <v>800000</v>
      </c>
      <c r="F59" s="141">
        <f t="shared" si="1"/>
        <v>5216</v>
      </c>
      <c r="G59" s="142"/>
      <c r="H59" s="144">
        <f>Invullblad!F68</f>
        <v>1520000</v>
      </c>
      <c r="I59" s="141">
        <f t="shared" si="2"/>
        <v>9910.4</v>
      </c>
      <c r="J59" s="142"/>
      <c r="K59" s="144">
        <f>Invullblad!G68</f>
        <v>952000</v>
      </c>
      <c r="L59" s="141">
        <f t="shared" si="0"/>
        <v>6207.04</v>
      </c>
      <c r="M59" s="122"/>
      <c r="N59" s="67">
        <v>16.3</v>
      </c>
    </row>
    <row r="60" spans="2:14" ht="12">
      <c r="B60" s="72" t="str">
        <f>Invullblad!B69</f>
        <v>IJzerchloridesulfaat</v>
      </c>
      <c r="C60" s="67">
        <f>N60*Invullblad!D69</f>
        <v>12.3</v>
      </c>
      <c r="D60" s="66" t="s">
        <v>17</v>
      </c>
      <c r="E60" s="89">
        <f>Invullblad!E69</f>
        <v>0</v>
      </c>
      <c r="F60" s="141">
        <f t="shared" si="1"/>
        <v>0</v>
      </c>
      <c r="G60" s="142"/>
      <c r="H60" s="144">
        <f>Invullblad!F69</f>
        <v>0</v>
      </c>
      <c r="I60" s="141">
        <f t="shared" si="2"/>
        <v>0</v>
      </c>
      <c r="J60" s="142"/>
      <c r="K60" s="144">
        <f>Invullblad!G69</f>
        <v>0</v>
      </c>
      <c r="L60" s="141">
        <f t="shared" si="0"/>
        <v>0</v>
      </c>
      <c r="M60" s="122"/>
      <c r="N60" s="67">
        <v>12.3</v>
      </c>
    </row>
    <row r="61" spans="2:14" ht="12">
      <c r="B61" s="72" t="str">
        <f>Invullblad!B70</f>
        <v>IJzersulfaat</v>
      </c>
      <c r="C61" s="67">
        <f>N61*Invullblad!D70</f>
        <v>3.4</v>
      </c>
      <c r="D61" s="66" t="s">
        <v>17</v>
      </c>
      <c r="E61" s="89">
        <f>Invullblad!E70</f>
        <v>0</v>
      </c>
      <c r="F61" s="141">
        <f t="shared" si="1"/>
        <v>0</v>
      </c>
      <c r="G61" s="142"/>
      <c r="H61" s="144">
        <f>Invullblad!F70</f>
        <v>0</v>
      </c>
      <c r="I61" s="141">
        <f t="shared" si="2"/>
        <v>0</v>
      </c>
      <c r="J61" s="142"/>
      <c r="K61" s="144">
        <f>Invullblad!G70</f>
        <v>0</v>
      </c>
      <c r="L61" s="141">
        <f t="shared" si="0"/>
        <v>0</v>
      </c>
      <c r="M61" s="122"/>
      <c r="N61" s="67">
        <v>3.4</v>
      </c>
    </row>
    <row r="62" spans="2:14" ht="12">
      <c r="B62" s="72" t="str">
        <f>Invullblad!B71</f>
        <v>Kalkhydraat</v>
      </c>
      <c r="C62" s="67">
        <f>N62*Invullblad!D71</f>
        <v>4.4</v>
      </c>
      <c r="D62" s="66" t="s">
        <v>17</v>
      </c>
      <c r="E62" s="89">
        <f>Invullblad!E71</f>
        <v>0</v>
      </c>
      <c r="F62" s="141">
        <f t="shared" si="1"/>
        <v>0</v>
      </c>
      <c r="G62" s="142"/>
      <c r="H62" s="144">
        <f>Invullblad!F71</f>
        <v>0</v>
      </c>
      <c r="I62" s="141">
        <f t="shared" si="2"/>
        <v>0</v>
      </c>
      <c r="J62" s="142"/>
      <c r="K62" s="144">
        <f>Invullblad!G71</f>
        <v>0</v>
      </c>
      <c r="L62" s="141">
        <f t="shared" si="0"/>
        <v>0</v>
      </c>
      <c r="M62" s="122"/>
      <c r="N62" s="67">
        <v>4.4</v>
      </c>
    </row>
    <row r="63" spans="2:14" ht="12">
      <c r="B63" s="72" t="str">
        <f>Invullblad!B72</f>
        <v>Kalkmelk op basis van gebluste kalk</v>
      </c>
      <c r="C63" s="67">
        <f>N63*Invullblad!D72</f>
        <v>4.3</v>
      </c>
      <c r="D63" s="66" t="s">
        <v>17</v>
      </c>
      <c r="E63" s="89">
        <f>Invullblad!E72</f>
        <v>0</v>
      </c>
      <c r="F63" s="141">
        <f t="shared" si="1"/>
        <v>0</v>
      </c>
      <c r="G63" s="142"/>
      <c r="H63" s="144">
        <f>Invullblad!F72</f>
        <v>0</v>
      </c>
      <c r="I63" s="141">
        <f t="shared" si="2"/>
        <v>0</v>
      </c>
      <c r="J63" s="142"/>
      <c r="K63" s="144">
        <f>Invullblad!G72</f>
        <v>0</v>
      </c>
      <c r="L63" s="141">
        <f t="shared" si="0"/>
        <v>0</v>
      </c>
      <c r="M63" s="122"/>
      <c r="N63" s="67">
        <v>4.3</v>
      </c>
    </row>
    <row r="64" spans="2:14" ht="12">
      <c r="B64" s="72" t="str">
        <f>Invullblad!B73</f>
        <v>Koolstofdioxide, vloeibaar</v>
      </c>
      <c r="C64" s="67">
        <f>N64*Invullblad!D73</f>
        <v>10.9</v>
      </c>
      <c r="D64" s="66" t="s">
        <v>17</v>
      </c>
      <c r="E64" s="89">
        <f>Invullblad!E73</f>
        <v>0</v>
      </c>
      <c r="F64" s="141">
        <f t="shared" si="1"/>
        <v>0</v>
      </c>
      <c r="G64" s="142"/>
      <c r="H64" s="144">
        <f>Invullblad!F73</f>
        <v>0</v>
      </c>
      <c r="I64" s="141">
        <f t="shared" si="2"/>
        <v>0</v>
      </c>
      <c r="J64" s="142"/>
      <c r="K64" s="144">
        <f>Invullblad!G73</f>
        <v>0</v>
      </c>
      <c r="L64" s="141">
        <f t="shared" si="0"/>
        <v>0</v>
      </c>
      <c r="M64" s="122"/>
      <c r="N64" s="67">
        <v>10.9</v>
      </c>
    </row>
    <row r="65" spans="2:14" ht="12">
      <c r="B65" s="72" t="str">
        <f>Invullblad!B74</f>
        <v>Magnesiumchloride</v>
      </c>
      <c r="C65" s="67">
        <f>N65*Invullblad!D74</f>
        <v>1.1340000000000001</v>
      </c>
      <c r="D65" s="66" t="s">
        <v>17</v>
      </c>
      <c r="E65" s="89">
        <f>Invullblad!E74</f>
        <v>0</v>
      </c>
      <c r="F65" s="141">
        <f t="shared" si="1"/>
        <v>0</v>
      </c>
      <c r="G65" s="142"/>
      <c r="H65" s="144">
        <f>Invullblad!F74</f>
        <v>0</v>
      </c>
      <c r="I65" s="141">
        <f t="shared" si="2"/>
        <v>0</v>
      </c>
      <c r="J65" s="142"/>
      <c r="K65" s="144">
        <f>Invullblad!G74</f>
        <v>0</v>
      </c>
      <c r="L65" s="141">
        <f t="shared" si="0"/>
        <v>0</v>
      </c>
      <c r="M65" s="122"/>
      <c r="N65" s="67">
        <v>2.1</v>
      </c>
    </row>
    <row r="66" spans="2:14" ht="12">
      <c r="B66" s="72" t="str">
        <f>Invullblad!B75</f>
        <v>Magnesiumchloride, anhydride</v>
      </c>
      <c r="C66" s="67">
        <f>N66*Invullblad!D75</f>
        <v>23.6</v>
      </c>
      <c r="D66" s="66" t="s">
        <v>17</v>
      </c>
      <c r="E66" s="89">
        <f>Invullblad!E75</f>
        <v>0</v>
      </c>
      <c r="F66" s="141">
        <f t="shared" si="1"/>
        <v>0</v>
      </c>
      <c r="G66" s="142"/>
      <c r="H66" s="144">
        <f>Invullblad!F75</f>
        <v>0</v>
      </c>
      <c r="I66" s="141">
        <f t="shared" si="2"/>
        <v>0</v>
      </c>
      <c r="J66" s="142"/>
      <c r="K66" s="144">
        <f>Invullblad!G75</f>
        <v>0</v>
      </c>
      <c r="L66" s="141">
        <f t="shared" si="0"/>
        <v>0</v>
      </c>
      <c r="M66" s="122"/>
      <c r="N66" s="67">
        <v>23.6</v>
      </c>
    </row>
    <row r="67" spans="2:14" ht="12">
      <c r="B67" s="72" t="str">
        <f>Invullblad!B76</f>
        <v>Magnesiumchloride, hydraat, vaste vorm</v>
      </c>
      <c r="C67" s="67">
        <f>N67*Invullblad!D76</f>
        <v>3.3</v>
      </c>
      <c r="D67" s="66" t="s">
        <v>17</v>
      </c>
      <c r="E67" s="89">
        <f>Invullblad!E76</f>
        <v>0</v>
      </c>
      <c r="F67" s="141">
        <f t="shared" si="1"/>
        <v>0</v>
      </c>
      <c r="G67" s="142"/>
      <c r="H67" s="144">
        <f>Invullblad!F76</f>
        <v>0</v>
      </c>
      <c r="I67" s="141">
        <f t="shared" si="2"/>
        <v>0</v>
      </c>
      <c r="J67" s="142"/>
      <c r="K67" s="144">
        <f>Invullblad!G76</f>
        <v>0</v>
      </c>
      <c r="L67" s="141">
        <f t="shared" si="0"/>
        <v>0</v>
      </c>
      <c r="M67" s="122"/>
      <c r="N67" s="67">
        <v>3.3</v>
      </c>
    </row>
    <row r="68" spans="2:14" ht="12">
      <c r="B68" s="72" t="str">
        <f>Invullblad!B77</f>
        <v>Magnesiumoxide</v>
      </c>
      <c r="C68" s="67">
        <f>N68*Invullblad!D77</f>
        <v>2.8</v>
      </c>
      <c r="D68" s="66" t="s">
        <v>17</v>
      </c>
      <c r="E68" s="89">
        <f>Invullblad!E77</f>
        <v>0</v>
      </c>
      <c r="F68" s="141">
        <f t="shared" si="1"/>
        <v>0</v>
      </c>
      <c r="G68" s="142"/>
      <c r="H68" s="144">
        <f>Invullblad!F77</f>
        <v>0</v>
      </c>
      <c r="I68" s="141">
        <f t="shared" si="2"/>
        <v>0</v>
      </c>
      <c r="J68" s="142"/>
      <c r="K68" s="144">
        <f>Invullblad!G77</f>
        <v>0</v>
      </c>
      <c r="L68" s="141">
        <f t="shared" si="0"/>
        <v>0</v>
      </c>
      <c r="M68" s="122"/>
      <c r="N68" s="67">
        <v>2.8</v>
      </c>
    </row>
    <row r="69" spans="2:14" ht="12">
      <c r="B69" s="72" t="str">
        <f>Invullblad!B78</f>
        <v>Melasse uit suikerbieten</v>
      </c>
      <c r="C69" s="67">
        <f>N69*Invullblad!D78</f>
        <v>6.2</v>
      </c>
      <c r="D69" s="66" t="s">
        <v>17</v>
      </c>
      <c r="E69" s="89">
        <f>Invullblad!E78</f>
        <v>0</v>
      </c>
      <c r="F69" s="141">
        <f t="shared" si="1"/>
        <v>0</v>
      </c>
      <c r="G69" s="142"/>
      <c r="H69" s="144">
        <f>Invullblad!F78</f>
        <v>0</v>
      </c>
      <c r="I69" s="141">
        <f t="shared" si="2"/>
        <v>0</v>
      </c>
      <c r="J69" s="142"/>
      <c r="K69" s="144">
        <f>Invullblad!G78</f>
        <v>0</v>
      </c>
      <c r="L69" s="141">
        <f t="shared" si="0"/>
        <v>0</v>
      </c>
      <c r="M69" s="122"/>
      <c r="N69" s="67">
        <v>6.2</v>
      </c>
    </row>
    <row r="70" spans="2:14" ht="12">
      <c r="B70" s="72" t="str">
        <f>Invullblad!B79</f>
        <v>Methanol</v>
      </c>
      <c r="C70" s="67">
        <f>N70*Invullblad!D79</f>
        <v>37.6</v>
      </c>
      <c r="D70" s="66" t="s">
        <v>17</v>
      </c>
      <c r="E70" s="89">
        <f>Invullblad!E79</f>
        <v>0</v>
      </c>
      <c r="F70" s="141">
        <f t="shared" si="1"/>
        <v>0</v>
      </c>
      <c r="G70" s="142"/>
      <c r="H70" s="144">
        <f>Invullblad!F79</f>
        <v>0</v>
      </c>
      <c r="I70" s="141">
        <f t="shared" si="2"/>
        <v>0</v>
      </c>
      <c r="J70" s="142"/>
      <c r="K70" s="144">
        <f>Invullblad!G79</f>
        <v>0</v>
      </c>
      <c r="L70" s="141">
        <f t="shared" si="0"/>
        <v>0</v>
      </c>
      <c r="M70" s="122"/>
      <c r="N70" s="67">
        <v>37.6</v>
      </c>
    </row>
    <row r="71" spans="2:14" ht="12">
      <c r="B71" s="72" t="str">
        <f>Invullblad!B80</f>
        <v>Natriumaluminaat oplossing </v>
      </c>
      <c r="C71" s="67">
        <f>N71*Invullblad!D80</f>
        <v>8.094000000000001</v>
      </c>
      <c r="D71" s="66" t="s">
        <v>17</v>
      </c>
      <c r="E71" s="89">
        <f>Invullblad!E80</f>
        <v>0</v>
      </c>
      <c r="F71" s="141">
        <f t="shared" si="1"/>
        <v>0</v>
      </c>
      <c r="G71" s="142"/>
      <c r="H71" s="144">
        <f>Invullblad!F80</f>
        <v>0</v>
      </c>
      <c r="I71" s="141">
        <f t="shared" si="2"/>
        <v>0</v>
      </c>
      <c r="J71" s="142"/>
      <c r="K71" s="144">
        <f>Invullblad!G80</f>
        <v>0</v>
      </c>
      <c r="L71" s="141">
        <f t="shared" si="0"/>
        <v>0</v>
      </c>
      <c r="M71" s="122"/>
      <c r="N71" s="67">
        <v>21.3</v>
      </c>
    </row>
    <row r="72" spans="2:14" ht="12">
      <c r="B72" s="72" t="str">
        <f>Invullblad!B81</f>
        <v>Natriumchloride (zout), poedervorm</v>
      </c>
      <c r="C72" s="67">
        <f>N72*Invullblad!D81</f>
        <v>3.3</v>
      </c>
      <c r="D72" s="66" t="s">
        <v>17</v>
      </c>
      <c r="E72" s="89">
        <f>Invullblad!E81</f>
        <v>0</v>
      </c>
      <c r="F72" s="141">
        <f t="shared" si="1"/>
        <v>0</v>
      </c>
      <c r="G72" s="142"/>
      <c r="H72" s="144">
        <f>Invullblad!F81</f>
        <v>0</v>
      </c>
      <c r="I72" s="141">
        <f t="shared" si="2"/>
        <v>0</v>
      </c>
      <c r="J72" s="142"/>
      <c r="K72" s="144">
        <f>Invullblad!G81</f>
        <v>0</v>
      </c>
      <c r="L72" s="141">
        <f t="shared" si="0"/>
        <v>0</v>
      </c>
      <c r="M72" s="122"/>
      <c r="N72" s="67">
        <v>3.3</v>
      </c>
    </row>
    <row r="73" spans="2:14" ht="12">
      <c r="B73" s="72" t="str">
        <f>Invullblad!B82</f>
        <v>Natriumhypochloriet</v>
      </c>
      <c r="C73" s="67">
        <f>N73*Invullblad!D82</f>
        <v>2.625</v>
      </c>
      <c r="D73" s="66" t="s">
        <v>17</v>
      </c>
      <c r="E73" s="89">
        <f>Invullblad!E82</f>
        <v>0</v>
      </c>
      <c r="F73" s="141">
        <f t="shared" si="1"/>
        <v>0</v>
      </c>
      <c r="G73" s="142"/>
      <c r="H73" s="144">
        <f>Invullblad!F82</f>
        <v>0</v>
      </c>
      <c r="I73" s="141">
        <f t="shared" si="2"/>
        <v>0</v>
      </c>
      <c r="J73" s="142"/>
      <c r="K73" s="144">
        <f>Invullblad!G82</f>
        <v>0</v>
      </c>
      <c r="L73" s="141">
        <f t="shared" si="0"/>
        <v>0</v>
      </c>
      <c r="M73" s="122"/>
      <c r="N73" s="67">
        <v>17.5</v>
      </c>
    </row>
    <row r="74" spans="2:14" ht="12">
      <c r="B74" s="72" t="str">
        <f>Invullblad!B83</f>
        <v>Natronloog kwikcelproces</v>
      </c>
      <c r="C74" s="67">
        <f>N74*Invullblad!D83</f>
        <v>11.25</v>
      </c>
      <c r="D74" s="66" t="s">
        <v>17</v>
      </c>
      <c r="E74" s="89">
        <f>Invullblad!E83</f>
        <v>0</v>
      </c>
      <c r="F74" s="141">
        <f t="shared" si="1"/>
        <v>0</v>
      </c>
      <c r="G74" s="142"/>
      <c r="H74" s="144">
        <f>Invullblad!F83</f>
        <v>0</v>
      </c>
      <c r="I74" s="141">
        <f t="shared" si="2"/>
        <v>0</v>
      </c>
      <c r="J74" s="142"/>
      <c r="K74" s="144">
        <f>Invullblad!G83</f>
        <v>0</v>
      </c>
      <c r="L74" s="141">
        <f t="shared" si="0"/>
        <v>0</v>
      </c>
      <c r="M74" s="122"/>
      <c r="N74" s="67">
        <v>22.5</v>
      </c>
    </row>
    <row r="75" spans="2:14" ht="12">
      <c r="B75" s="72" t="str">
        <f>Invullblad!B84</f>
        <v>Natronloog, membraanproces</v>
      </c>
      <c r="C75" s="67">
        <f>N75*Invullblad!D84</f>
        <v>10.35</v>
      </c>
      <c r="D75" s="66" t="s">
        <v>17</v>
      </c>
      <c r="E75" s="89">
        <f>Invullblad!E84</f>
        <v>0</v>
      </c>
      <c r="F75" s="141">
        <f t="shared" si="1"/>
        <v>0</v>
      </c>
      <c r="G75" s="142"/>
      <c r="H75" s="144">
        <f>Invullblad!F84</f>
        <v>0</v>
      </c>
      <c r="I75" s="141">
        <f t="shared" si="2"/>
        <v>0</v>
      </c>
      <c r="J75" s="142"/>
      <c r="K75" s="144">
        <f>Invullblad!G84</f>
        <v>0</v>
      </c>
      <c r="L75" s="141">
        <f t="shared" si="0"/>
        <v>0</v>
      </c>
      <c r="M75" s="122"/>
      <c r="N75" s="67">
        <v>20.7</v>
      </c>
    </row>
    <row r="76" spans="2:14" ht="12">
      <c r="B76" s="72" t="str">
        <f>Invullblad!B85</f>
        <v>Natronloog, productiemix</v>
      </c>
      <c r="C76" s="67">
        <f>N76*Invullblad!D85</f>
        <v>11.4</v>
      </c>
      <c r="D76" s="66" t="s">
        <v>17</v>
      </c>
      <c r="E76" s="89">
        <f>Invullblad!E85</f>
        <v>0</v>
      </c>
      <c r="F76" s="141">
        <f t="shared" si="1"/>
        <v>0</v>
      </c>
      <c r="G76" s="142"/>
      <c r="H76" s="144">
        <f>Invullblad!F85</f>
        <v>0</v>
      </c>
      <c r="I76" s="141">
        <f t="shared" si="2"/>
        <v>0</v>
      </c>
      <c r="J76" s="142"/>
      <c r="K76" s="144">
        <f>Invullblad!G85</f>
        <v>0</v>
      </c>
      <c r="L76" s="141">
        <f t="shared" si="0"/>
        <v>0</v>
      </c>
      <c r="M76" s="122"/>
      <c r="N76" s="67">
        <v>22.8</v>
      </c>
    </row>
    <row r="77" spans="2:14" ht="12">
      <c r="B77" s="72" t="str">
        <f>Invullblad!B86</f>
        <v>Polymeer, anionisch</v>
      </c>
      <c r="C77" s="67">
        <f>N77*Invullblad!D86</f>
        <v>76.6</v>
      </c>
      <c r="D77" s="66" t="s">
        <v>17</v>
      </c>
      <c r="E77" s="89">
        <f>Invullblad!E86</f>
        <v>0</v>
      </c>
      <c r="F77" s="141">
        <f t="shared" si="1"/>
        <v>0</v>
      </c>
      <c r="G77" s="142"/>
      <c r="H77" s="144">
        <f>Invullblad!F86</f>
        <v>0</v>
      </c>
      <c r="I77" s="141">
        <f t="shared" si="2"/>
        <v>0</v>
      </c>
      <c r="J77" s="142"/>
      <c r="K77" s="144">
        <f>Invullblad!G86</f>
        <v>0</v>
      </c>
      <c r="L77" s="141">
        <f t="shared" si="0"/>
        <v>0</v>
      </c>
      <c r="M77" s="122"/>
      <c r="N77" s="67">
        <v>76.6</v>
      </c>
    </row>
    <row r="78" spans="2:14" ht="12">
      <c r="B78" s="72" t="str">
        <f>Invullblad!B87</f>
        <v>Polymeer, anionisch, vloeibaar</v>
      </c>
      <c r="C78" s="67">
        <f>N78*Invullblad!D87</f>
        <v>62.2</v>
      </c>
      <c r="D78" s="66" t="s">
        <v>17</v>
      </c>
      <c r="E78" s="89">
        <f>Invullblad!E87</f>
        <v>0</v>
      </c>
      <c r="F78" s="141">
        <f t="shared" si="1"/>
        <v>0</v>
      </c>
      <c r="G78" s="142"/>
      <c r="H78" s="144">
        <f>Invullblad!F87</f>
        <v>0</v>
      </c>
      <c r="I78" s="141">
        <f t="shared" si="2"/>
        <v>0</v>
      </c>
      <c r="J78" s="142"/>
      <c r="K78" s="144">
        <f>Invullblad!G87</f>
        <v>7665</v>
      </c>
      <c r="L78" s="141">
        <f aca="true" t="shared" si="3" ref="L78:L93">K78*C78/1000</f>
        <v>476.763</v>
      </c>
      <c r="M78" s="122"/>
      <c r="N78" s="67">
        <v>62.2</v>
      </c>
    </row>
    <row r="79" spans="2:14" ht="12">
      <c r="B79" s="72" t="str">
        <f>Invullblad!B88</f>
        <v>Polymeer, kationisch, poeder </v>
      </c>
      <c r="C79" s="67">
        <f>N79*Invullblad!D88</f>
        <v>85.6</v>
      </c>
      <c r="D79" s="66" t="s">
        <v>17</v>
      </c>
      <c r="E79" s="89">
        <f>Invullblad!E88</f>
        <v>0</v>
      </c>
      <c r="F79" s="141">
        <f t="shared" si="1"/>
        <v>0</v>
      </c>
      <c r="G79" s="142"/>
      <c r="H79" s="144">
        <f>Invullblad!F88</f>
        <v>0</v>
      </c>
      <c r="I79" s="141">
        <f t="shared" si="2"/>
        <v>0</v>
      </c>
      <c r="J79" s="142"/>
      <c r="K79" s="144">
        <f>Invullblad!G88</f>
        <v>0</v>
      </c>
      <c r="L79" s="141">
        <f t="shared" si="3"/>
        <v>0</v>
      </c>
      <c r="M79" s="122"/>
      <c r="N79" s="67">
        <v>85.6</v>
      </c>
    </row>
    <row r="80" spans="2:14" ht="12">
      <c r="B80" s="72" t="str">
        <f>Invullblad!B89</f>
        <v>Polymeer, kationisch, vloeibaar</v>
      </c>
      <c r="C80" s="67">
        <f>N80*Invullblad!D89</f>
        <v>66.7</v>
      </c>
      <c r="D80" s="66" t="s">
        <v>17</v>
      </c>
      <c r="E80" s="89">
        <f>Invullblad!E89</f>
        <v>175000</v>
      </c>
      <c r="F80" s="141">
        <f t="shared" si="1"/>
        <v>11672.5</v>
      </c>
      <c r="G80" s="142"/>
      <c r="H80" s="144">
        <f>Invullblad!F89</f>
        <v>194250</v>
      </c>
      <c r="I80" s="141">
        <f t="shared" si="2"/>
        <v>12956.475</v>
      </c>
      <c r="J80" s="142"/>
      <c r="K80" s="144">
        <f>Invullblad!G89</f>
        <v>175750</v>
      </c>
      <c r="L80" s="141">
        <f t="shared" si="3"/>
        <v>11722.525</v>
      </c>
      <c r="M80" s="122"/>
      <c r="N80" s="67">
        <v>66.7</v>
      </c>
    </row>
    <row r="81" spans="2:14" ht="12">
      <c r="B81" s="72" t="str">
        <f>Invullblad!B90</f>
        <v>Polyaluminiumchloride</v>
      </c>
      <c r="C81" s="67">
        <f>N81*Invullblad!D90</f>
        <v>19.4</v>
      </c>
      <c r="D81" s="66" t="s">
        <v>17</v>
      </c>
      <c r="E81" s="89">
        <f>Invullblad!E90</f>
        <v>10000</v>
      </c>
      <c r="F81" s="141">
        <f t="shared" si="1"/>
        <v>194</v>
      </c>
      <c r="G81" s="142"/>
      <c r="H81" s="144">
        <f>Invullblad!F90</f>
        <v>10000</v>
      </c>
      <c r="I81" s="141">
        <f t="shared" si="2"/>
        <v>194</v>
      </c>
      <c r="J81" s="142"/>
      <c r="K81" s="144">
        <f>Invullblad!G90</f>
        <v>10000</v>
      </c>
      <c r="L81" s="141">
        <f t="shared" si="3"/>
        <v>194</v>
      </c>
      <c r="M81" s="122"/>
      <c r="N81" s="67">
        <v>19.4</v>
      </c>
    </row>
    <row r="82" spans="2:14" ht="12">
      <c r="B82" s="72" t="str">
        <f>Invullblad!B91</f>
        <v>Polyaluminiumsulfaat, poeder</v>
      </c>
      <c r="C82" s="67">
        <f>N82*Invullblad!D91</f>
        <v>17.3</v>
      </c>
      <c r="D82" s="66" t="s">
        <v>17</v>
      </c>
      <c r="E82" s="89">
        <f>Invullblad!E91</f>
        <v>0</v>
      </c>
      <c r="F82" s="141">
        <f t="shared" si="1"/>
        <v>0</v>
      </c>
      <c r="G82" s="142"/>
      <c r="H82" s="144">
        <f>Invullblad!F91</f>
        <v>0</v>
      </c>
      <c r="I82" s="141">
        <f t="shared" si="2"/>
        <v>0</v>
      </c>
      <c r="J82" s="142"/>
      <c r="K82" s="144">
        <f>Invullblad!G91</f>
        <v>0</v>
      </c>
      <c r="L82" s="141">
        <f t="shared" si="3"/>
        <v>0</v>
      </c>
      <c r="M82" s="122"/>
      <c r="N82" s="67">
        <v>17.3</v>
      </c>
    </row>
    <row r="83" spans="2:14" ht="12">
      <c r="B83" s="72" t="str">
        <f>Invullblad!B92</f>
        <v>Zoutzuur, reactie propyleen en chloor</v>
      </c>
      <c r="C83" s="67">
        <f>N83*Invullblad!D92</f>
        <v>0.864</v>
      </c>
      <c r="D83" s="66" t="s">
        <v>17</v>
      </c>
      <c r="E83" s="89">
        <f>Invullblad!E92</f>
        <v>0</v>
      </c>
      <c r="F83" s="141">
        <f t="shared" si="1"/>
        <v>0</v>
      </c>
      <c r="G83" s="142"/>
      <c r="H83" s="144">
        <f>Invullblad!F92</f>
        <v>0</v>
      </c>
      <c r="I83" s="141">
        <f t="shared" si="2"/>
        <v>0</v>
      </c>
      <c r="J83" s="142"/>
      <c r="K83" s="144">
        <f>Invullblad!G92</f>
        <v>0</v>
      </c>
      <c r="L83" s="141">
        <f t="shared" si="3"/>
        <v>0</v>
      </c>
      <c r="M83" s="122"/>
      <c r="N83" s="67">
        <v>2.4</v>
      </c>
    </row>
    <row r="84" spans="2:14" ht="12">
      <c r="B84" s="72" t="str">
        <f>Invullblad!B93</f>
        <v>Zoutzuur uit de reactie van waterstof en chloor</v>
      </c>
      <c r="C84" s="67">
        <f>N84*Invullblad!D93</f>
        <v>28</v>
      </c>
      <c r="D84" s="66" t="s">
        <v>17</v>
      </c>
      <c r="E84" s="89">
        <f>Invullblad!E93</f>
        <v>0</v>
      </c>
      <c r="F84" s="141">
        <f t="shared" si="1"/>
        <v>0</v>
      </c>
      <c r="G84" s="142"/>
      <c r="H84" s="144">
        <f>Invullblad!F93</f>
        <v>0</v>
      </c>
      <c r="I84" s="141">
        <f t="shared" si="2"/>
        <v>0</v>
      </c>
      <c r="J84" s="142"/>
      <c r="K84" s="144">
        <f>Invullblad!G93</f>
        <v>0</v>
      </c>
      <c r="L84" s="141">
        <f t="shared" si="3"/>
        <v>0</v>
      </c>
      <c r="M84" s="122"/>
      <c r="N84" s="67">
        <v>28</v>
      </c>
    </row>
    <row r="85" spans="2:14" ht="12">
      <c r="B85" s="72" t="str">
        <f>Invullblad!B94</f>
        <v>Zoutzuur uit het Mannheim proces</v>
      </c>
      <c r="C85" s="67">
        <f>N85*Invullblad!D94</f>
        <v>7</v>
      </c>
      <c r="D85" s="66" t="s">
        <v>17</v>
      </c>
      <c r="E85" s="89">
        <f>Invullblad!E94</f>
        <v>0</v>
      </c>
      <c r="F85" s="141">
        <f t="shared" si="1"/>
        <v>0</v>
      </c>
      <c r="G85" s="142"/>
      <c r="H85" s="144">
        <f>Invullblad!F94</f>
        <v>0</v>
      </c>
      <c r="I85" s="141">
        <f t="shared" si="2"/>
        <v>0</v>
      </c>
      <c r="J85" s="142"/>
      <c r="K85" s="144">
        <f>Invullblad!G94</f>
        <v>0</v>
      </c>
      <c r="L85" s="141">
        <f t="shared" si="3"/>
        <v>0</v>
      </c>
      <c r="M85" s="122"/>
      <c r="N85" s="67">
        <v>7</v>
      </c>
    </row>
    <row r="86" spans="2:14" ht="12">
      <c r="B86" s="72" t="str">
        <f>Invullblad!B95</f>
        <v>Zuurstof (vloeibaar)</v>
      </c>
      <c r="C86" s="67">
        <f>N86*Invullblad!D95</f>
        <v>8.8</v>
      </c>
      <c r="D86" s="66" t="s">
        <v>17</v>
      </c>
      <c r="E86" s="89">
        <f>Invullblad!E95</f>
        <v>0</v>
      </c>
      <c r="F86" s="141">
        <f t="shared" si="1"/>
        <v>0</v>
      </c>
      <c r="G86" s="142"/>
      <c r="H86" s="144">
        <f>Invullblad!F95</f>
        <v>0</v>
      </c>
      <c r="I86" s="141">
        <f t="shared" si="2"/>
        <v>0</v>
      </c>
      <c r="J86" s="142"/>
      <c r="K86" s="144">
        <f>Invullblad!G95</f>
        <v>0</v>
      </c>
      <c r="L86" s="141">
        <f t="shared" si="3"/>
        <v>0</v>
      </c>
      <c r="M86" s="122"/>
      <c r="N86" s="67">
        <v>8.8</v>
      </c>
    </row>
    <row r="87" spans="2:14" ht="12">
      <c r="B87" s="72" t="str">
        <f>Invullblad!B96</f>
        <v>Zwavelzuur, vloeibaar</v>
      </c>
      <c r="C87" s="67">
        <f>N87*Invullblad!D96</f>
        <v>2.1</v>
      </c>
      <c r="D87" s="66" t="s">
        <v>17</v>
      </c>
      <c r="E87" s="89">
        <f>Invullblad!E96</f>
        <v>0</v>
      </c>
      <c r="F87" s="141">
        <f t="shared" si="1"/>
        <v>0</v>
      </c>
      <c r="G87" s="142"/>
      <c r="H87" s="144">
        <f>Invullblad!F96</f>
        <v>0</v>
      </c>
      <c r="I87" s="141">
        <f t="shared" si="2"/>
        <v>0</v>
      </c>
      <c r="J87" s="142"/>
      <c r="K87" s="144">
        <f>Invullblad!G96</f>
        <v>0</v>
      </c>
      <c r="L87" s="141">
        <f t="shared" si="3"/>
        <v>0</v>
      </c>
      <c r="M87" s="122"/>
      <c r="N87" s="67">
        <v>2.1</v>
      </c>
    </row>
    <row r="88" spans="2:13" ht="12">
      <c r="B88" s="72"/>
      <c r="C88" s="67"/>
      <c r="D88" s="66"/>
      <c r="E88" s="89"/>
      <c r="F88" s="141"/>
      <c r="G88" s="142"/>
      <c r="H88" s="144"/>
      <c r="I88" s="141"/>
      <c r="J88" s="142"/>
      <c r="K88" s="144"/>
      <c r="L88" s="141"/>
      <c r="M88" s="122"/>
    </row>
    <row r="89" spans="2:13" ht="15">
      <c r="B89" s="78" t="str">
        <f>Invullblad!B98</f>
        <v>Materialen</v>
      </c>
      <c r="C89" s="67"/>
      <c r="D89" s="66"/>
      <c r="E89" s="89"/>
      <c r="F89" s="146">
        <f>F90</f>
        <v>1349.92</v>
      </c>
      <c r="G89" s="148"/>
      <c r="H89" s="144"/>
      <c r="I89" s="146">
        <f>I90</f>
        <v>1448.45</v>
      </c>
      <c r="J89" s="148"/>
      <c r="K89" s="144"/>
      <c r="L89" s="146">
        <f>L90</f>
        <v>881.46</v>
      </c>
      <c r="M89" s="122"/>
    </row>
    <row r="90" spans="2:13" ht="15">
      <c r="B90" s="72" t="str">
        <f>Invullblad!B99</f>
        <v>Gewapend beton</v>
      </c>
      <c r="C90" s="71">
        <v>3540</v>
      </c>
      <c r="D90" s="66" t="s">
        <v>12</v>
      </c>
      <c r="E90" s="89">
        <f>Invullblad!E99</f>
        <v>11440</v>
      </c>
      <c r="F90" s="141">
        <f>(C90*E90/Invullblad!E100)/1000</f>
        <v>1349.92</v>
      </c>
      <c r="G90" s="142"/>
      <c r="H90" s="144">
        <f>Invullblad!F99</f>
        <v>12275</v>
      </c>
      <c r="I90" s="141">
        <f>(C90*H90/Invullblad!F100)/1000</f>
        <v>1448.45</v>
      </c>
      <c r="J90" s="142"/>
      <c r="K90" s="144">
        <f>Invullblad!G99</f>
        <v>7470</v>
      </c>
      <c r="L90" s="141">
        <f>(C90*K90/Invullblad!G100)/1000</f>
        <v>881.46</v>
      </c>
      <c r="M90" s="128"/>
    </row>
    <row r="91" spans="2:13" ht="12">
      <c r="B91" s="72"/>
      <c r="C91" s="67"/>
      <c r="D91" s="66"/>
      <c r="E91" s="89"/>
      <c r="F91" s="141"/>
      <c r="G91" s="142"/>
      <c r="H91" s="144"/>
      <c r="I91" s="141"/>
      <c r="J91" s="142"/>
      <c r="K91" s="144"/>
      <c r="L91" s="141"/>
      <c r="M91" s="122"/>
    </row>
    <row r="92" spans="2:13" ht="15">
      <c r="B92" s="78" t="s">
        <v>133</v>
      </c>
      <c r="C92" s="79"/>
      <c r="D92" s="69"/>
      <c r="E92" s="97"/>
      <c r="F92" s="146">
        <f>F93</f>
        <v>14973</v>
      </c>
      <c r="G92" s="148"/>
      <c r="H92" s="144"/>
      <c r="I92" s="146">
        <f>I93</f>
        <v>15778.000000000002</v>
      </c>
      <c r="J92" s="148"/>
      <c r="K92" s="144"/>
      <c r="L92" s="146">
        <f>L93</f>
        <v>13765.5</v>
      </c>
      <c r="M92" s="122"/>
    </row>
    <row r="93" spans="2:13" ht="12">
      <c r="B93" s="72" t="s">
        <v>145</v>
      </c>
      <c r="C93" s="42">
        <v>0.805</v>
      </c>
      <c r="D93" s="66" t="s">
        <v>17</v>
      </c>
      <c r="E93" s="89">
        <f>Invullblad!E16*1000</f>
        <v>18600000</v>
      </c>
      <c r="F93" s="141">
        <f>C93*E93/1000</f>
        <v>14973</v>
      </c>
      <c r="G93" s="142"/>
      <c r="H93" s="144">
        <f>Invullblad!F16*1000</f>
        <v>19600000</v>
      </c>
      <c r="I93" s="141">
        <f>H93*C93/1000</f>
        <v>15778.000000000002</v>
      </c>
      <c r="J93" s="142"/>
      <c r="K93" s="144">
        <f>Invullblad!G16*1000</f>
        <v>17100000</v>
      </c>
      <c r="L93" s="141">
        <f t="shared" si="3"/>
        <v>13765.5</v>
      </c>
      <c r="M93" s="122"/>
    </row>
    <row r="94" spans="1:13" ht="12">
      <c r="A94"/>
      <c r="B94" s="102" t="s">
        <v>196</v>
      </c>
      <c r="C94" s="101">
        <v>2.26</v>
      </c>
      <c r="D94" s="104" t="s">
        <v>201</v>
      </c>
      <c r="E94" s="97">
        <f>Invullblad!E20</f>
        <v>50</v>
      </c>
      <c r="F94" s="141">
        <f>C94*E94/1000</f>
        <v>0.11299999999999999</v>
      </c>
      <c r="G94" s="149"/>
      <c r="H94" s="150">
        <f>Invullblad!F20</f>
        <v>50</v>
      </c>
      <c r="I94" s="141">
        <f>H94*C94/10</f>
        <v>11.299999999999999</v>
      </c>
      <c r="J94" s="149"/>
      <c r="K94" s="150">
        <f>Invullblad!G20</f>
        <v>50</v>
      </c>
      <c r="L94" s="141">
        <f>K94*C94/10</f>
        <v>11.299999999999999</v>
      </c>
      <c r="M94" s="122"/>
    </row>
    <row r="95" spans="1:13" ht="12">
      <c r="A95"/>
      <c r="B95" s="103" t="s">
        <v>197</v>
      </c>
      <c r="C95" s="107">
        <v>2.26</v>
      </c>
      <c r="D95" s="105" t="s">
        <v>201</v>
      </c>
      <c r="E95" s="106">
        <f>Invullblad!E22</f>
        <v>100</v>
      </c>
      <c r="F95" s="151">
        <f>C95*E95/1000</f>
        <v>0.22599999999999998</v>
      </c>
      <c r="G95" s="152"/>
      <c r="H95" s="153">
        <f>Invullblad!F22</f>
        <v>100</v>
      </c>
      <c r="I95" s="151">
        <f>H95*C95/10</f>
        <v>22.599999999999998</v>
      </c>
      <c r="J95" s="152"/>
      <c r="K95" s="153">
        <f>Invullblad!G22</f>
        <v>100</v>
      </c>
      <c r="L95" s="151">
        <f>K95*C95/10</f>
        <v>22.599999999999998</v>
      </c>
      <c r="M95" s="123"/>
    </row>
    <row r="96" spans="1:13" ht="12">
      <c r="A96" s="45"/>
      <c r="C96" s="45"/>
      <c r="D96" s="45"/>
      <c r="F96" s="155"/>
      <c r="G96" s="155"/>
      <c r="I96" s="155"/>
      <c r="J96" s="155"/>
      <c r="M96" s="124"/>
    </row>
    <row r="97" spans="1:13" ht="15">
      <c r="A97" s="45"/>
      <c r="C97" s="45"/>
      <c r="D97" s="45"/>
      <c r="F97" s="155"/>
      <c r="G97" s="155"/>
      <c r="I97" s="155"/>
      <c r="J97" s="155"/>
      <c r="M97" s="125"/>
    </row>
    <row r="98" spans="1:13" ht="12">
      <c r="A98" s="45"/>
      <c r="C98" s="45"/>
      <c r="D98" s="45"/>
      <c r="F98" s="155"/>
      <c r="G98" s="155"/>
      <c r="I98" s="155"/>
      <c r="J98" s="155"/>
      <c r="M98" s="124"/>
    </row>
    <row r="99" spans="1:13" ht="12">
      <c r="A99" s="45"/>
      <c r="C99" s="45"/>
      <c r="D99" s="45"/>
      <c r="F99" s="155"/>
      <c r="G99" s="155"/>
      <c r="I99" s="155"/>
      <c r="J99" s="155"/>
      <c r="M99" s="124"/>
    </row>
    <row r="100" spans="1:13" ht="15">
      <c r="A100" s="45"/>
      <c r="C100" s="45"/>
      <c r="D100" s="45"/>
      <c r="F100" s="155"/>
      <c r="G100" s="155"/>
      <c r="I100" s="155"/>
      <c r="J100" s="155"/>
      <c r="M100" s="125"/>
    </row>
    <row r="101" spans="1:13" ht="12">
      <c r="A101" s="45"/>
      <c r="C101" s="45"/>
      <c r="D101" s="45"/>
      <c r="F101" s="155"/>
      <c r="G101" s="155"/>
      <c r="I101" s="155"/>
      <c r="J101" s="155"/>
      <c r="M101" s="124"/>
    </row>
    <row r="102" spans="1:13" ht="12">
      <c r="A102" s="45"/>
      <c r="C102" s="45"/>
      <c r="D102" s="45"/>
      <c r="F102" s="155"/>
      <c r="G102" s="155"/>
      <c r="I102" s="155"/>
      <c r="J102" s="155"/>
      <c r="M102" s="124"/>
    </row>
    <row r="103" spans="1:13" ht="12">
      <c r="A103" s="45"/>
      <c r="C103" s="45"/>
      <c r="D103" s="45"/>
      <c r="F103" s="155"/>
      <c r="G103" s="155"/>
      <c r="I103" s="155"/>
      <c r="J103" s="155"/>
      <c r="M103" s="124"/>
    </row>
    <row r="104" spans="1:13" ht="12">
      <c r="A104" s="45"/>
      <c r="C104" s="45"/>
      <c r="D104" s="45"/>
      <c r="F104" s="155"/>
      <c r="G104" s="155"/>
      <c r="I104" s="155"/>
      <c r="J104" s="155"/>
      <c r="M104" s="3"/>
    </row>
    <row r="105" spans="1:13" ht="12">
      <c r="A105" s="45"/>
      <c r="C105" s="45"/>
      <c r="D105" s="45"/>
      <c r="F105" s="155"/>
      <c r="G105" s="155"/>
      <c r="I105" s="155"/>
      <c r="J105" s="155"/>
      <c r="M105" s="3"/>
    </row>
    <row r="106" spans="1:13" ht="12">
      <c r="A106" s="45"/>
      <c r="C106" s="45"/>
      <c r="D106" s="45"/>
      <c r="F106" s="155"/>
      <c r="G106" s="155"/>
      <c r="I106" s="155"/>
      <c r="J106" s="155"/>
      <c r="M106" s="3"/>
    </row>
    <row r="107" spans="1:13" ht="12">
      <c r="A107" s="45"/>
      <c r="C107" s="45"/>
      <c r="D107" s="45"/>
      <c r="F107" s="155"/>
      <c r="G107" s="155"/>
      <c r="I107" s="155"/>
      <c r="J107" s="155"/>
      <c r="M107" s="3"/>
    </row>
    <row r="108" spans="1:10" ht="12">
      <c r="A108" s="45"/>
      <c r="C108" s="45"/>
      <c r="D108" s="45"/>
      <c r="F108" s="155"/>
      <c r="G108" s="155"/>
      <c r="I108" s="155"/>
      <c r="J108" s="155"/>
    </row>
    <row r="109" spans="1:10" ht="12">
      <c r="A109" s="45"/>
      <c r="C109" s="45"/>
      <c r="D109" s="45"/>
      <c r="F109" s="155"/>
      <c r="G109" s="155"/>
      <c r="I109" s="155"/>
      <c r="J109" s="155"/>
    </row>
    <row r="110" spans="1:10" ht="12">
      <c r="A110" s="45"/>
      <c r="C110" s="45"/>
      <c r="D110" s="45"/>
      <c r="F110" s="155"/>
      <c r="G110" s="155"/>
      <c r="I110" s="155"/>
      <c r="J110" s="155"/>
    </row>
  </sheetData>
  <sheetProtection password="C750" sheet="1" objects="1" scenarios="1" formatCells="0"/>
  <printOptions/>
  <pageMargins left="0.75" right="0.75" top="1" bottom="1" header="0.5" footer="0.5"/>
  <pageSetup fitToHeight="1" fitToWidth="1" orientation="portrait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45" sqref="A45"/>
    </sheetView>
  </sheetViews>
  <sheetFormatPr defaultColWidth="8.8515625" defaultRowHeight="12.75"/>
  <cols>
    <col min="1" max="1" width="35.00390625" style="0" bestFit="1" customWidth="1"/>
    <col min="2" max="2" width="7.7109375" style="0" bestFit="1" customWidth="1"/>
    <col min="3" max="3" width="11.7109375" style="0" bestFit="1" customWidth="1"/>
    <col min="4" max="4" width="13.140625" style="0" bestFit="1" customWidth="1"/>
    <col min="5" max="5" width="17.421875" style="0" customWidth="1"/>
  </cols>
  <sheetData>
    <row r="1" spans="1:4" ht="12">
      <c r="A1" t="s">
        <v>43</v>
      </c>
      <c r="B1" t="s">
        <v>7</v>
      </c>
      <c r="C1" t="s">
        <v>44</v>
      </c>
      <c r="D1" t="s">
        <v>45</v>
      </c>
    </row>
    <row r="2" spans="3:5" ht="12">
      <c r="C2" t="s">
        <v>46</v>
      </c>
      <c r="D2" t="s">
        <v>47</v>
      </c>
      <c r="E2" t="s">
        <v>94</v>
      </c>
    </row>
    <row r="3" spans="1:5" ht="12">
      <c r="A3" t="s">
        <v>48</v>
      </c>
      <c r="B3" t="s">
        <v>49</v>
      </c>
      <c r="C3">
        <v>24.5</v>
      </c>
      <c r="D3">
        <v>94.7</v>
      </c>
      <c r="E3" s="5">
        <f>D3*C3</f>
        <v>2320.15</v>
      </c>
    </row>
    <row r="4" spans="1:5" ht="12">
      <c r="A4" t="s">
        <v>40</v>
      </c>
      <c r="B4" t="s">
        <v>10</v>
      </c>
      <c r="C4">
        <v>0.03165</v>
      </c>
      <c r="D4">
        <v>56.8</v>
      </c>
      <c r="E4" s="5">
        <f aca="true" t="shared" si="0" ref="E4:E49">D4*C4</f>
        <v>1.7977199999999998</v>
      </c>
    </row>
    <row r="5" spans="1:5" ht="12">
      <c r="A5" t="s">
        <v>50</v>
      </c>
      <c r="B5" t="s">
        <v>49</v>
      </c>
      <c r="C5">
        <v>44</v>
      </c>
      <c r="D5">
        <v>63.1</v>
      </c>
      <c r="E5" s="5">
        <f t="shared" si="0"/>
        <v>2776.4</v>
      </c>
    </row>
    <row r="6" spans="1:5" ht="12">
      <c r="A6" t="s">
        <v>51</v>
      </c>
      <c r="B6" t="s">
        <v>49</v>
      </c>
      <c r="C6">
        <v>34.4</v>
      </c>
      <c r="D6">
        <v>73.6</v>
      </c>
      <c r="E6" s="5">
        <f t="shared" si="0"/>
        <v>2531.8399999999997</v>
      </c>
    </row>
    <row r="7" spans="1:5" ht="12">
      <c r="A7" t="s">
        <v>52</v>
      </c>
      <c r="B7" t="s">
        <v>49</v>
      </c>
      <c r="C7">
        <v>26.6</v>
      </c>
      <c r="D7">
        <v>98.3</v>
      </c>
      <c r="E7" s="5">
        <f t="shared" si="0"/>
        <v>2614.78</v>
      </c>
    </row>
    <row r="8" spans="1:5" ht="12">
      <c r="A8" t="s">
        <v>53</v>
      </c>
      <c r="B8" t="s">
        <v>49</v>
      </c>
      <c r="C8">
        <v>15.1</v>
      </c>
      <c r="D8">
        <v>109.6</v>
      </c>
      <c r="E8" s="5">
        <f t="shared" si="0"/>
        <v>1654.9599999999998</v>
      </c>
    </row>
    <row r="9" spans="1:5" ht="12">
      <c r="A9" t="s">
        <v>54</v>
      </c>
      <c r="B9" t="s">
        <v>49</v>
      </c>
      <c r="C9">
        <v>39.4</v>
      </c>
      <c r="D9">
        <v>71.2</v>
      </c>
      <c r="E9" s="5">
        <f t="shared" si="0"/>
        <v>2805.28</v>
      </c>
    </row>
    <row r="10" spans="1:5" ht="12">
      <c r="A10" t="s">
        <v>55</v>
      </c>
      <c r="B10" t="s">
        <v>49</v>
      </c>
      <c r="C10">
        <v>41.9</v>
      </c>
      <c r="D10">
        <v>80.7</v>
      </c>
      <c r="E10" s="5">
        <f t="shared" si="0"/>
        <v>3381.33</v>
      </c>
    </row>
    <row r="11" spans="1:5" ht="12">
      <c r="A11" t="s">
        <v>56</v>
      </c>
      <c r="B11" t="s">
        <v>49</v>
      </c>
      <c r="C11">
        <v>9.4</v>
      </c>
      <c r="D11">
        <v>106.7</v>
      </c>
      <c r="E11" s="5">
        <f t="shared" si="0"/>
        <v>1002.98</v>
      </c>
    </row>
    <row r="12" spans="1:5" ht="12">
      <c r="A12" t="s">
        <v>57</v>
      </c>
      <c r="B12" t="s">
        <v>49</v>
      </c>
      <c r="C12">
        <v>20</v>
      </c>
      <c r="D12">
        <v>101.2</v>
      </c>
      <c r="E12" s="5">
        <f t="shared" si="0"/>
        <v>2024</v>
      </c>
    </row>
    <row r="13" spans="1:5" ht="12">
      <c r="A13" t="s">
        <v>58</v>
      </c>
      <c r="B13" t="s">
        <v>10</v>
      </c>
      <c r="C13">
        <v>0.03165</v>
      </c>
      <c r="D13">
        <v>66.7</v>
      </c>
      <c r="E13" s="5">
        <f t="shared" si="0"/>
        <v>2.111055</v>
      </c>
    </row>
    <row r="14" spans="1:5" ht="12">
      <c r="A14" t="s">
        <v>59</v>
      </c>
      <c r="B14" t="s">
        <v>49</v>
      </c>
      <c r="C14">
        <v>28.7</v>
      </c>
      <c r="D14">
        <v>89.8</v>
      </c>
      <c r="E14" s="5">
        <f t="shared" si="0"/>
        <v>2577.2599999999998</v>
      </c>
    </row>
    <row r="15" spans="1:5" ht="12">
      <c r="A15" t="s">
        <v>60</v>
      </c>
      <c r="B15" t="s">
        <v>49</v>
      </c>
      <c r="C15">
        <v>28.7</v>
      </c>
      <c r="D15">
        <v>95.4</v>
      </c>
      <c r="E15" s="5">
        <f t="shared" si="0"/>
        <v>2737.98</v>
      </c>
    </row>
    <row r="16" spans="1:5" ht="12">
      <c r="A16" t="s">
        <v>61</v>
      </c>
      <c r="B16" t="s">
        <v>49</v>
      </c>
      <c r="C16">
        <v>28.5</v>
      </c>
      <c r="D16">
        <v>111.9</v>
      </c>
      <c r="E16" s="5">
        <f t="shared" si="0"/>
        <v>3189.15</v>
      </c>
    </row>
    <row r="17" spans="1:5" ht="12">
      <c r="A17" t="s">
        <v>62</v>
      </c>
      <c r="B17" t="s">
        <v>10</v>
      </c>
      <c r="C17">
        <v>0.03165</v>
      </c>
      <c r="D17">
        <v>41.2</v>
      </c>
      <c r="E17" s="5">
        <f t="shared" si="0"/>
        <v>1.30398</v>
      </c>
    </row>
    <row r="18" spans="1:5" ht="12">
      <c r="A18" t="s">
        <v>39</v>
      </c>
      <c r="B18" t="s">
        <v>63</v>
      </c>
      <c r="C18">
        <v>9</v>
      </c>
      <c r="D18">
        <v>74.6</v>
      </c>
      <c r="E18" s="5">
        <f t="shared" si="0"/>
        <v>671.4</v>
      </c>
    </row>
    <row r="19" spans="1:5" ht="12">
      <c r="A19" t="s">
        <v>64</v>
      </c>
      <c r="B19" t="s">
        <v>49</v>
      </c>
      <c r="C19">
        <v>45.2</v>
      </c>
      <c r="D19">
        <v>61.6</v>
      </c>
      <c r="E19" s="5">
        <f t="shared" si="0"/>
        <v>2784.32</v>
      </c>
    </row>
    <row r="20" spans="1:5" ht="12">
      <c r="A20" t="s">
        <v>65</v>
      </c>
      <c r="B20" t="s">
        <v>10</v>
      </c>
      <c r="C20">
        <v>0.03165</v>
      </c>
      <c r="D20">
        <v>149.5</v>
      </c>
      <c r="E20" s="5">
        <f t="shared" si="0"/>
        <v>4.731675</v>
      </c>
    </row>
    <row r="21" spans="1:5" ht="12">
      <c r="A21" t="s">
        <v>66</v>
      </c>
      <c r="B21" t="s">
        <v>49</v>
      </c>
      <c r="C21">
        <v>42.7</v>
      </c>
      <c r="D21">
        <v>74.3</v>
      </c>
      <c r="E21" s="5">
        <f t="shared" si="0"/>
        <v>3172.61</v>
      </c>
    </row>
    <row r="22" spans="1:5" ht="12">
      <c r="A22" t="s">
        <v>67</v>
      </c>
      <c r="B22" t="s">
        <v>10</v>
      </c>
      <c r="C22">
        <v>0.03165</v>
      </c>
      <c r="D22">
        <v>247.4</v>
      </c>
      <c r="E22" s="5">
        <f t="shared" si="0"/>
        <v>7.830209999999999</v>
      </c>
    </row>
    <row r="23" spans="1:5" ht="12">
      <c r="A23" t="s">
        <v>68</v>
      </c>
      <c r="B23" t="s">
        <v>10</v>
      </c>
      <c r="C23">
        <v>0.0233</v>
      </c>
      <c r="D23">
        <v>84.2</v>
      </c>
      <c r="E23" s="5">
        <f t="shared" si="0"/>
        <v>1.9618600000000002</v>
      </c>
    </row>
    <row r="24" spans="1:5" ht="12">
      <c r="A24" t="s">
        <v>69</v>
      </c>
      <c r="B24" t="s">
        <v>49</v>
      </c>
      <c r="C24">
        <v>43.5</v>
      </c>
      <c r="D24">
        <v>71.5</v>
      </c>
      <c r="E24" s="5">
        <f t="shared" si="0"/>
        <v>3110.25</v>
      </c>
    </row>
    <row r="25" spans="1:5" ht="12">
      <c r="A25" t="s">
        <v>70</v>
      </c>
      <c r="B25" t="s">
        <v>10</v>
      </c>
      <c r="C25">
        <v>0.0126</v>
      </c>
      <c r="D25">
        <v>155.2</v>
      </c>
      <c r="E25" s="5">
        <f t="shared" si="0"/>
        <v>1.95552</v>
      </c>
    </row>
    <row r="26" spans="1:5" ht="12">
      <c r="A26" t="s">
        <v>71</v>
      </c>
      <c r="B26" t="s">
        <v>49</v>
      </c>
      <c r="C26">
        <v>36</v>
      </c>
      <c r="D26">
        <v>73.3</v>
      </c>
      <c r="E26" s="5">
        <f t="shared" si="0"/>
        <v>2638.7999999999997</v>
      </c>
    </row>
    <row r="27" spans="1:5" ht="12">
      <c r="A27" t="s">
        <v>72</v>
      </c>
      <c r="B27" t="s">
        <v>49</v>
      </c>
      <c r="C27">
        <v>45.2</v>
      </c>
      <c r="D27">
        <v>66.7</v>
      </c>
      <c r="E27" s="5">
        <f t="shared" si="0"/>
        <v>3014.84</v>
      </c>
    </row>
    <row r="28" spans="1:5" ht="12">
      <c r="A28" t="s">
        <v>73</v>
      </c>
      <c r="B28" t="s">
        <v>10</v>
      </c>
      <c r="C28">
        <v>0.0359</v>
      </c>
      <c r="D28">
        <v>54.9</v>
      </c>
      <c r="E28" s="5">
        <f t="shared" si="0"/>
        <v>1.97091</v>
      </c>
    </row>
    <row r="29" spans="1:5" ht="12">
      <c r="A29" t="s">
        <v>74</v>
      </c>
      <c r="B29" t="s">
        <v>49</v>
      </c>
      <c r="C29">
        <v>44</v>
      </c>
      <c r="D29">
        <v>72</v>
      </c>
      <c r="E29" s="5">
        <f t="shared" si="0"/>
        <v>3168</v>
      </c>
    </row>
    <row r="30" spans="1:5" ht="12">
      <c r="A30" t="s">
        <v>75</v>
      </c>
      <c r="B30" t="s">
        <v>49</v>
      </c>
      <c r="C30">
        <v>44</v>
      </c>
      <c r="D30">
        <v>73.3</v>
      </c>
      <c r="E30" s="5">
        <f t="shared" si="0"/>
        <v>3225.2</v>
      </c>
    </row>
    <row r="31" spans="1:5" ht="12">
      <c r="A31" t="s">
        <v>76</v>
      </c>
      <c r="B31" t="s">
        <v>49</v>
      </c>
      <c r="C31">
        <v>27.5</v>
      </c>
      <c r="D31">
        <v>80.7</v>
      </c>
      <c r="E31" s="5">
        <f t="shared" si="0"/>
        <v>2219.25</v>
      </c>
    </row>
    <row r="32" spans="1:5" ht="12">
      <c r="A32" t="s">
        <v>77</v>
      </c>
      <c r="B32" t="s">
        <v>49</v>
      </c>
      <c r="C32">
        <v>40.2</v>
      </c>
      <c r="D32">
        <v>73.3</v>
      </c>
      <c r="E32" s="5">
        <f t="shared" si="0"/>
        <v>2946.6600000000003</v>
      </c>
    </row>
    <row r="33" spans="1:5" ht="12">
      <c r="A33" t="s">
        <v>78</v>
      </c>
      <c r="B33" t="s">
        <v>10</v>
      </c>
      <c r="C33">
        <v>0.03165</v>
      </c>
      <c r="D33">
        <v>191.9</v>
      </c>
      <c r="E33" s="5">
        <f t="shared" si="0"/>
        <v>6.0736349999999995</v>
      </c>
    </row>
    <row r="34" spans="1:5" ht="12">
      <c r="A34" t="s">
        <v>79</v>
      </c>
      <c r="B34" t="s">
        <v>49</v>
      </c>
      <c r="C34">
        <v>43.1</v>
      </c>
      <c r="D34">
        <v>71.9</v>
      </c>
      <c r="E34" s="5">
        <f t="shared" si="0"/>
        <v>3098.8900000000003</v>
      </c>
    </row>
    <row r="35" spans="1:5" ht="12">
      <c r="A35" t="s">
        <v>80</v>
      </c>
      <c r="B35" t="s">
        <v>49</v>
      </c>
      <c r="C35">
        <v>35.2</v>
      </c>
      <c r="D35">
        <v>100.8</v>
      </c>
      <c r="E35" s="5">
        <f t="shared" si="0"/>
        <v>3548.1600000000003</v>
      </c>
    </row>
    <row r="36" spans="1:5" ht="12">
      <c r="A36" t="s">
        <v>37</v>
      </c>
      <c r="B36" t="s">
        <v>81</v>
      </c>
      <c r="C36">
        <v>1000</v>
      </c>
      <c r="D36">
        <v>56.1</v>
      </c>
      <c r="E36" s="5">
        <f t="shared" si="0"/>
        <v>56100</v>
      </c>
    </row>
    <row r="37" spans="1:5" ht="12">
      <c r="A37" t="s">
        <v>82</v>
      </c>
      <c r="B37" t="s">
        <v>49</v>
      </c>
      <c r="C37">
        <v>44.8</v>
      </c>
      <c r="D37">
        <v>73.3</v>
      </c>
      <c r="E37" s="5">
        <f t="shared" si="0"/>
        <v>3283.8399999999997</v>
      </c>
    </row>
    <row r="38" spans="1:5" ht="12">
      <c r="A38" t="s">
        <v>83</v>
      </c>
      <c r="B38" t="s">
        <v>10</v>
      </c>
      <c r="C38">
        <v>0.03165</v>
      </c>
      <c r="D38">
        <v>66.7</v>
      </c>
      <c r="E38" s="5">
        <f t="shared" si="0"/>
        <v>2.111055</v>
      </c>
    </row>
    <row r="39" spans="1:5" ht="12">
      <c r="A39" t="s">
        <v>84</v>
      </c>
      <c r="B39" t="s">
        <v>49</v>
      </c>
      <c r="C39">
        <v>42.7</v>
      </c>
      <c r="D39">
        <v>73.3</v>
      </c>
      <c r="E39" s="5">
        <f t="shared" si="0"/>
        <v>3129.9100000000003</v>
      </c>
    </row>
    <row r="40" spans="1:5" ht="12">
      <c r="A40" t="s">
        <v>85</v>
      </c>
      <c r="B40" t="s">
        <v>10</v>
      </c>
      <c r="C40">
        <v>0.0233</v>
      </c>
      <c r="D40">
        <v>84.2</v>
      </c>
      <c r="E40" s="6">
        <f t="shared" si="0"/>
        <v>1.9618600000000002</v>
      </c>
    </row>
    <row r="41" spans="1:5" ht="12">
      <c r="A41" t="s">
        <v>86</v>
      </c>
      <c r="B41" t="s">
        <v>49</v>
      </c>
      <c r="C41">
        <v>41.4</v>
      </c>
      <c r="D41">
        <v>73.3</v>
      </c>
      <c r="E41" s="5">
        <f t="shared" si="0"/>
        <v>3034.62</v>
      </c>
    </row>
    <row r="42" spans="1:5" ht="12">
      <c r="A42" t="s">
        <v>87</v>
      </c>
      <c r="B42" t="s">
        <v>49</v>
      </c>
      <c r="C42">
        <v>23.5</v>
      </c>
      <c r="D42">
        <v>94.6</v>
      </c>
      <c r="E42" s="5">
        <f t="shared" si="0"/>
        <v>2223.1</v>
      </c>
    </row>
    <row r="43" spans="1:5" ht="12">
      <c r="A43" t="s">
        <v>88</v>
      </c>
      <c r="B43" t="s">
        <v>49</v>
      </c>
      <c r="C43">
        <v>29</v>
      </c>
      <c r="D43">
        <v>103</v>
      </c>
      <c r="E43" s="5">
        <f t="shared" si="0"/>
        <v>2987</v>
      </c>
    </row>
    <row r="44" spans="1:5" ht="12">
      <c r="A44" t="s">
        <v>89</v>
      </c>
      <c r="B44" t="s">
        <v>10</v>
      </c>
      <c r="C44">
        <v>0.0195</v>
      </c>
      <c r="D44">
        <v>100.7</v>
      </c>
      <c r="E44" s="5">
        <f t="shared" si="0"/>
        <v>1.9636500000000001</v>
      </c>
    </row>
    <row r="45" spans="1:5" ht="12">
      <c r="A45" t="s">
        <v>90</v>
      </c>
      <c r="B45" t="s">
        <v>49</v>
      </c>
      <c r="C45">
        <v>20.7</v>
      </c>
      <c r="D45">
        <v>96.1</v>
      </c>
      <c r="E45" s="5">
        <f t="shared" si="0"/>
        <v>1989.2699999999998</v>
      </c>
    </row>
    <row r="46" spans="1:5" ht="12">
      <c r="A46" t="s">
        <v>91</v>
      </c>
      <c r="B46" t="s">
        <v>49</v>
      </c>
      <c r="C46">
        <v>10.8</v>
      </c>
      <c r="D46">
        <v>106</v>
      </c>
      <c r="E46" s="5">
        <f t="shared" si="0"/>
        <v>1144.8000000000002</v>
      </c>
    </row>
    <row r="47" spans="1:5" ht="12">
      <c r="A47" t="s">
        <v>31</v>
      </c>
      <c r="B47" t="s">
        <v>81</v>
      </c>
      <c r="C47">
        <v>1110</v>
      </c>
      <c r="D47">
        <v>56.1</v>
      </c>
      <c r="E47" s="5">
        <f t="shared" si="0"/>
        <v>62271</v>
      </c>
    </row>
    <row r="48" spans="1:5" ht="12">
      <c r="A48" t="s">
        <v>92</v>
      </c>
      <c r="B48" t="s">
        <v>49</v>
      </c>
      <c r="C48">
        <v>117</v>
      </c>
      <c r="D48">
        <v>0</v>
      </c>
      <c r="E48" s="5">
        <f t="shared" si="0"/>
        <v>0</v>
      </c>
    </row>
    <row r="49" spans="1:5" ht="12">
      <c r="A49" t="s">
        <v>93</v>
      </c>
      <c r="B49" t="s">
        <v>49</v>
      </c>
      <c r="C49">
        <v>41</v>
      </c>
      <c r="D49">
        <v>77.4</v>
      </c>
      <c r="E49" s="5">
        <f t="shared" si="0"/>
        <v>3173.4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Mirabella</dc:creator>
  <cp:keywords/>
  <dc:description/>
  <cp:lastModifiedBy>Bert-Jan van Weeren</cp:lastModifiedBy>
  <cp:lastPrinted>2012-05-04T16:34:33Z</cp:lastPrinted>
  <dcterms:created xsi:type="dcterms:W3CDTF">2010-10-04T16:18:24Z</dcterms:created>
  <dcterms:modified xsi:type="dcterms:W3CDTF">2012-11-13T20:29:01Z</dcterms:modified>
  <cp:category/>
  <cp:version/>
  <cp:contentType/>
  <cp:contentStatus/>
</cp:coreProperties>
</file>